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drawings/drawing2.xml" ContentType="application/vnd.openxmlformats-officedocument.drawing+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drawings/drawing3.xml" ContentType="application/vnd.openxmlformats-officedocument.drawing+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tables/table1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5"/>
  <workbookPr codeName="ThisWorkbook" defaultThemeVersion="166925"/>
  <mc:AlternateContent xmlns:mc="http://schemas.openxmlformats.org/markup-compatibility/2006">
    <mc:Choice Requires="x15">
      <x15ac:absPath xmlns:x15ac="http://schemas.microsoft.com/office/spreadsheetml/2010/11/ac" url="V:\DIVISIONS\Planning\Forms &amp; Handouts\Open Space\"/>
    </mc:Choice>
  </mc:AlternateContent>
  <xr:revisionPtr revIDLastSave="0" documentId="13_ncr:1_{7981E244-F5FF-4B6D-89C3-EB491E2A03EF}" xr6:coauthVersionLast="36" xr6:coauthVersionMax="47" xr10:uidLastSave="{00000000-0000-0000-0000-000000000000}"/>
  <workbookProtection workbookAlgorithmName="SHA-512" workbookHashValue="Hw9xzQNcRny1EZ6zljnA07He4sbTaEjjo0coK6kBCMUMKL5D2MnOYpOL0BKQhMPjNxiOUETTa9Wyk2ZHvnQpSg==" workbookSaltValue="YuQEAWvSutEscoZkKzH7mg==" workbookSpinCount="100000" lockStructure="1"/>
  <bookViews>
    <workbookView xWindow="28680" yWindow="-120" windowWidth="29040" windowHeight="15840" tabRatio="720" xr2:uid="{9962982F-F3CE-4501-B625-E9BCFA193FEF}"/>
  </bookViews>
  <sheets>
    <sheet name="Introduction" sheetId="13" r:id="rId1"/>
    <sheet name="O.S. Calculator" sheetId="11" r:id="rId2"/>
    <sheet name="O.S. Analysis" sheetId="14" r:id="rId3"/>
    <sheet name="O.S. Matrix (Informational)" sheetId="5" r:id="rId4"/>
    <sheet name="O.S. Policies (Informational)" sheetId="15" r:id="rId5"/>
    <sheet name="Global Variables" sheetId="3" r:id="rId6"/>
  </sheets>
  <definedNames>
    <definedName name="avg_HH_MF">'Global Variables'!$B$13</definedName>
    <definedName name="avg_HH_SF">'Global Variables'!$B$12</definedName>
    <definedName name="avg_p_unit_q">'O.S. Analysis'!$B$70</definedName>
    <definedName name="avg_p_unit_t">'O.S. Analysis'!$B$69</definedName>
    <definedName name="avg_p_unit_u">'O.S. Analysis'!$B$71</definedName>
    <definedName name="avg_size">#REF!</definedName>
    <definedName name="Base_area">#REF!</definedName>
    <definedName name="buffer_art">'Global Variables'!$B$6</definedName>
    <definedName name="buffer_coll">'Global Variables'!$B$7</definedName>
    <definedName name="buffer_local">'Global Variables'!$B$8</definedName>
    <definedName name="cell_control">#REF!</definedName>
    <definedName name="density_MF">'O.S. Analysis'!$B$39</definedName>
    <definedName name="density_overall">'O.S. Analysis'!$B$37</definedName>
    <definedName name="density_SF">'O.S. Analysis'!$B$38</definedName>
    <definedName name="DU_MF">'O.S. Analysis'!$B$36</definedName>
    <definedName name="DU_SF">'O.S. Analysis'!$B$35</definedName>
    <definedName name="DU_total">'O.S. Analysis'!$B$34</definedName>
    <definedName name="extra">#REF!</definedName>
    <definedName name="extra_OS">'O.S. Analysis'!$C$7</definedName>
    <definedName name="extra_OS_MF">'O.S. Analysis'!$C$8</definedName>
    <definedName name="extra_OS_SF">'O.S. Analysis'!$C$7</definedName>
    <definedName name="grand_OS">'O.S. Analysis'!#REF!</definedName>
    <definedName name="incr">#REF!</definedName>
    <definedName name="large_unit" localSheetId="5">'Global Variables'!$B$18</definedName>
    <definedName name="large_unit">#REF!</definedName>
    <definedName name="last_mod">'Global Variables'!#REF!</definedName>
    <definedName name="max_density">'Global Variables'!$B$10</definedName>
    <definedName name="max_per">#REF!</definedName>
    <definedName name="med_unit">'Global Variables'!$B$17</definedName>
    <definedName name="min_density">'Global Variables'!$B$11</definedName>
    <definedName name="minOS_acres">'O.S. Analysis'!$B$6</definedName>
    <definedName name="minOS_SQFT">'O.S. Analysis'!$C$6</definedName>
    <definedName name="OS_Comp_flat">#REF!</definedName>
    <definedName name="OS_Comp_per">#REF!</definedName>
    <definedName name="OS_mod">'O.S. Matrix (Informational)'!$M$1</definedName>
    <definedName name="OS_mod_Per">#REF!</definedName>
    <definedName name="OS_NonQual">'O.S. Analysis'!$C$9</definedName>
    <definedName name="OS_per">#REF!</definedName>
    <definedName name="OS_Usable">'O.S. Analysis'!$C$11</definedName>
    <definedName name="per_control">#REF!</definedName>
    <definedName name="Per_OS">'Global Variables'!$B$32</definedName>
    <definedName name="Per_OS_MF">'Global Variables'!$B$32</definedName>
    <definedName name="PPH">'Global Variables'!$B$4</definedName>
    <definedName name="_xlnm.Print_Area" localSheetId="2">'O.S. Analysis'!$A$1:$E$101</definedName>
    <definedName name="_xlnm.Print_Area" localSheetId="3">'O.S. Matrix (Informational)'!$A$1:$Q$111</definedName>
    <definedName name="proj_acre" localSheetId="4">Table_site[Inputs]</definedName>
    <definedName name="proj_acre">Table_site[Inputs]</definedName>
    <definedName name="proj_acres">#REF!</definedName>
    <definedName name="proj_frontage">#REF!</definedName>
    <definedName name="proj_size_acres">'O.S. Analysis'!$B$5</definedName>
    <definedName name="proj_size_SQFT">'O.S. Analysis'!$C$5</definedName>
    <definedName name="proj_sqft">#REF!</definedName>
    <definedName name="proj_type">'O.S. Calculator'!$B$5</definedName>
    <definedName name="proj_units">#REF!</definedName>
    <definedName name="project_acres" localSheetId="4">Table_site[Inputs]</definedName>
    <definedName name="project_acres">Table_site[Inputs]</definedName>
    <definedName name="project_size">'O.S. Calculator'!$B$7</definedName>
    <definedName name="project_size_MF">'O.S. Calculator'!$B$8</definedName>
    <definedName name="project_size_SF">'O.S. Calculator'!$B$7</definedName>
    <definedName name="project_type">'Global Variables'!$A$35:$A$37</definedName>
    <definedName name="required_per">'O.S. Calculator'!$B$10</definedName>
    <definedName name="small_unit" localSheetId="5">'Global Variables'!$B$16</definedName>
    <definedName name="small_unit">#REF!</definedName>
    <definedName name="SQFT_Acre">'Global Variables'!$B$5</definedName>
    <definedName name="studio">#REF!</definedName>
    <definedName name="t_OS_acres">'O.S. Analysis'!$B$12</definedName>
    <definedName name="t_OS_NonQual">'O.S. Analysis'!$C$48</definedName>
    <definedName name="t_OS_Qual">'O.S. Analysis'!$C$49</definedName>
    <definedName name="t_OS_SQFT">'O.S. Analysis'!$C$12</definedName>
    <definedName name="t_proj_per_OS">'O.S. Analysis'!$D$51</definedName>
    <definedName name="t_prop_OS">'O.S. Analysis'!$C$47</definedName>
    <definedName name="t_usable_OS">'O.S. Analysis'!$C$50</definedName>
    <definedName name="total_req_OS">Table_results[[#Totals],[Acres]]</definedName>
    <definedName name="total_units">'O.S. Calculator'!#REF!</definedName>
    <definedName name="unit_control">#REF!</definedName>
    <definedName name="unit_ratio">#REF!</definedName>
    <definedName name="units_acre">#REF!</definedName>
    <definedName name="units_large">'O.S. Calculator'!$B$16</definedName>
    <definedName name="units_med">'O.S. Calculator'!$B$15</definedName>
    <definedName name="units_sf">'O.S. Calculator'!$B$9</definedName>
    <definedName name="units_small">'O.S. Calculator'!$B$14</definedName>
    <definedName name="zone_OT">'Global Variables'!$B$29</definedName>
    <definedName name="zone_R15">'Global Variables'!$B$25</definedName>
    <definedName name="zone_R2">'Global Variables'!$B$21</definedName>
    <definedName name="zone_R4">'Global Variables'!$B$23</definedName>
    <definedName name="zone_R40">'Global Variables'!$B$26</definedName>
    <definedName name="zone_R8">'Global Variables'!$B$24</definedName>
    <definedName name="zone_TNC">'Global Variables'!$B$28</definedName>
    <definedName name="zone_TNR">'Global Variables'!$B$27</definedName>
    <definedName name="zoning_amounts">'Global Variables'!$B$21:$B$29</definedName>
    <definedName name="zoning_array">'Global Variables'!$A$21:$B$29</definedName>
    <definedName name="zoning_list">'Global Variables'!$A$21:$A$29</definedName>
    <definedName name="zoning_select">'O.S. Calculator'!$B$6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5" i="14" l="1"/>
  <c r="C29" i="14"/>
  <c r="B5" i="14" l="1"/>
  <c r="B43" i="14" s="1"/>
  <c r="D43" i="14" s="1"/>
  <c r="B35" i="14"/>
  <c r="B38" i="14" s="1"/>
  <c r="C50" i="14"/>
  <c r="C48" i="14"/>
  <c r="B25" i="14"/>
  <c r="B24" i="14"/>
  <c r="B23" i="14"/>
  <c r="B16" i="14"/>
  <c r="B22" i="14" l="1"/>
  <c r="B36" i="14" s="1"/>
  <c r="B21" i="11"/>
  <c r="B10" i="11" l="1"/>
  <c r="B20" i="11" l="1"/>
  <c r="B17" i="14" s="1"/>
  <c r="Z21" i="11"/>
  <c r="Z20" i="11"/>
  <c r="Z16" i="11"/>
  <c r="Z15" i="11"/>
  <c r="Z14" i="11"/>
  <c r="Z10" i="11"/>
  <c r="Z9" i="11"/>
  <c r="B12" i="5" l="1"/>
  <c r="B37" i="5" s="1"/>
  <c r="C12" i="5"/>
  <c r="C37" i="5" s="1"/>
  <c r="D12" i="5"/>
  <c r="D37" i="5" s="1"/>
  <c r="E12" i="5"/>
  <c r="E37" i="5" s="1"/>
  <c r="F12" i="5"/>
  <c r="F37" i="5" s="1"/>
  <c r="G12" i="5"/>
  <c r="G37" i="5" s="1"/>
  <c r="H12" i="5"/>
  <c r="H37" i="5" s="1"/>
  <c r="I12" i="5"/>
  <c r="I37" i="5" s="1"/>
  <c r="J12" i="5"/>
  <c r="J37" i="5" s="1"/>
  <c r="K12" i="5"/>
  <c r="K37" i="5" s="1"/>
  <c r="L12" i="5"/>
  <c r="L37" i="5" s="1"/>
  <c r="M12" i="5"/>
  <c r="M37" i="5" s="1"/>
  <c r="N12" i="5"/>
  <c r="N37" i="5" s="1"/>
  <c r="O12" i="5"/>
  <c r="O37" i="5" s="1"/>
  <c r="P12" i="5"/>
  <c r="P37" i="5" s="1"/>
  <c r="Q12" i="5"/>
  <c r="Q37" i="5" s="1"/>
  <c r="Q89" i="5" l="1"/>
  <c r="M89" i="5"/>
  <c r="I89" i="5"/>
  <c r="E89" i="5"/>
  <c r="P89" i="5"/>
  <c r="L89" i="5"/>
  <c r="H89" i="5"/>
  <c r="D89" i="5"/>
  <c r="O89" i="5"/>
  <c r="K89" i="5"/>
  <c r="G89" i="5"/>
  <c r="C89" i="5"/>
  <c r="N89" i="5"/>
  <c r="J89" i="5"/>
  <c r="F89" i="5"/>
  <c r="B89" i="5"/>
  <c r="Q63" i="5"/>
  <c r="M63" i="5"/>
  <c r="I63" i="5"/>
  <c r="E63" i="5"/>
  <c r="P63" i="5"/>
  <c r="L63" i="5"/>
  <c r="H63" i="5"/>
  <c r="D63" i="5"/>
  <c r="O63" i="5"/>
  <c r="K63" i="5"/>
  <c r="G63" i="5"/>
  <c r="C63" i="5"/>
  <c r="N63" i="5"/>
  <c r="J63" i="5"/>
  <c r="F63" i="5"/>
  <c r="B63" i="5"/>
  <c r="Q31" i="5" l="1"/>
  <c r="P31" i="5"/>
  <c r="O31" i="5"/>
  <c r="N31" i="5"/>
  <c r="N56" i="5" s="1"/>
  <c r="N82" i="5" s="1"/>
  <c r="M31" i="5"/>
  <c r="Q30" i="5"/>
  <c r="P30" i="5"/>
  <c r="O30" i="5"/>
  <c r="N30" i="5"/>
  <c r="N55" i="5" s="1"/>
  <c r="N107" i="5" s="1"/>
  <c r="M30" i="5"/>
  <c r="Q29" i="5"/>
  <c r="P29" i="5"/>
  <c r="O29" i="5"/>
  <c r="N29" i="5"/>
  <c r="N54" i="5" s="1"/>
  <c r="N80" i="5" s="1"/>
  <c r="M29" i="5"/>
  <c r="Q28" i="5"/>
  <c r="P28" i="5"/>
  <c r="O28" i="5"/>
  <c r="O53" i="5" s="1"/>
  <c r="N28" i="5"/>
  <c r="N53" i="5" s="1"/>
  <c r="N105" i="5" s="1"/>
  <c r="M28" i="5"/>
  <c r="M53" i="5" s="1"/>
  <c r="Q27" i="5"/>
  <c r="Q52" i="5" s="1"/>
  <c r="P27" i="5"/>
  <c r="P52" i="5" s="1"/>
  <c r="O27" i="5"/>
  <c r="O52" i="5" s="1"/>
  <c r="N27" i="5"/>
  <c r="N52" i="5" s="1"/>
  <c r="N78" i="5" s="1"/>
  <c r="M27" i="5"/>
  <c r="Q26" i="5"/>
  <c r="Q51" i="5" s="1"/>
  <c r="P26" i="5"/>
  <c r="P51" i="5" s="1"/>
  <c r="O26" i="5"/>
  <c r="O51" i="5" s="1"/>
  <c r="N26" i="5"/>
  <c r="N51" i="5" s="1"/>
  <c r="N77" i="5" s="1"/>
  <c r="M26" i="5"/>
  <c r="M51" i="5" s="1"/>
  <c r="Q25" i="5"/>
  <c r="Q50" i="5" s="1"/>
  <c r="P25" i="5"/>
  <c r="P50" i="5" s="1"/>
  <c r="O25" i="5"/>
  <c r="O50" i="5" s="1"/>
  <c r="N25" i="5"/>
  <c r="N50" i="5" s="1"/>
  <c r="N102" i="5" s="1"/>
  <c r="M25" i="5"/>
  <c r="M50" i="5" s="1"/>
  <c r="Q24" i="5"/>
  <c r="Q49" i="5" s="1"/>
  <c r="P24" i="5"/>
  <c r="P49" i="5" s="1"/>
  <c r="O24" i="5"/>
  <c r="O49" i="5" s="1"/>
  <c r="N24" i="5"/>
  <c r="N49" i="5" s="1"/>
  <c r="N75" i="5" s="1"/>
  <c r="M24" i="5"/>
  <c r="M49" i="5" s="1"/>
  <c r="Q23" i="5"/>
  <c r="Q48" i="5" s="1"/>
  <c r="P23" i="5"/>
  <c r="P48" i="5" s="1"/>
  <c r="O23" i="5"/>
  <c r="O48" i="5" s="1"/>
  <c r="N23" i="5"/>
  <c r="N48" i="5" s="1"/>
  <c r="N100" i="5" s="1"/>
  <c r="M23" i="5"/>
  <c r="Q22" i="5"/>
  <c r="Q47" i="5" s="1"/>
  <c r="P22" i="5"/>
  <c r="P47" i="5" s="1"/>
  <c r="O22" i="5"/>
  <c r="O47" i="5" s="1"/>
  <c r="N22" i="5"/>
  <c r="N47" i="5" s="1"/>
  <c r="N73" i="5" s="1"/>
  <c r="M22" i="5"/>
  <c r="M47" i="5" s="1"/>
  <c r="Q21" i="5"/>
  <c r="Q46" i="5" s="1"/>
  <c r="P21" i="5"/>
  <c r="P46" i="5" s="1"/>
  <c r="O21" i="5"/>
  <c r="O46" i="5" s="1"/>
  <c r="N21" i="5"/>
  <c r="N46" i="5" s="1"/>
  <c r="N98" i="5" s="1"/>
  <c r="M21" i="5"/>
  <c r="M46" i="5" s="1"/>
  <c r="Q20" i="5"/>
  <c r="Q45" i="5" s="1"/>
  <c r="P20" i="5"/>
  <c r="P45" i="5" s="1"/>
  <c r="O20" i="5"/>
  <c r="O45" i="5" s="1"/>
  <c r="N20" i="5"/>
  <c r="N45" i="5" s="1"/>
  <c r="N71" i="5" s="1"/>
  <c r="M20" i="5"/>
  <c r="M45" i="5" s="1"/>
  <c r="Q19" i="5"/>
  <c r="Q44" i="5" s="1"/>
  <c r="P19" i="5"/>
  <c r="P44" i="5" s="1"/>
  <c r="O19" i="5"/>
  <c r="O44" i="5" s="1"/>
  <c r="N19" i="5"/>
  <c r="N44" i="5" s="1"/>
  <c r="N96" i="5" s="1"/>
  <c r="M19" i="5"/>
  <c r="Q18" i="5"/>
  <c r="Q43" i="5" s="1"/>
  <c r="P18" i="5"/>
  <c r="P43" i="5" s="1"/>
  <c r="O18" i="5"/>
  <c r="O43" i="5" s="1"/>
  <c r="N18" i="5"/>
  <c r="N43" i="5" s="1"/>
  <c r="N95" i="5" s="1"/>
  <c r="M18" i="5"/>
  <c r="M43" i="5" s="1"/>
  <c r="Q17" i="5"/>
  <c r="Q42" i="5" s="1"/>
  <c r="P17" i="5"/>
  <c r="P42" i="5" s="1"/>
  <c r="O17" i="5"/>
  <c r="O42" i="5" s="1"/>
  <c r="N17" i="5"/>
  <c r="N42" i="5" s="1"/>
  <c r="N68" i="5" s="1"/>
  <c r="M17" i="5"/>
  <c r="M42" i="5" s="1"/>
  <c r="Q16" i="5"/>
  <c r="Q41" i="5" s="1"/>
  <c r="P16" i="5"/>
  <c r="P41" i="5" s="1"/>
  <c r="O16" i="5"/>
  <c r="O41" i="5" s="1"/>
  <c r="N16" i="5"/>
  <c r="N41" i="5" s="1"/>
  <c r="M16" i="5"/>
  <c r="M41" i="5" s="1"/>
  <c r="Q15" i="5"/>
  <c r="Q40" i="5" s="1"/>
  <c r="P15" i="5"/>
  <c r="P40" i="5" s="1"/>
  <c r="O15" i="5"/>
  <c r="O40" i="5" s="1"/>
  <c r="N15" i="5"/>
  <c r="N40" i="5" s="1"/>
  <c r="M15" i="5"/>
  <c r="M40" i="5" s="1"/>
  <c r="Q14" i="5"/>
  <c r="Q39" i="5" s="1"/>
  <c r="P14" i="5"/>
  <c r="P39" i="5" s="1"/>
  <c r="O14" i="5"/>
  <c r="O39" i="5" s="1"/>
  <c r="N14" i="5"/>
  <c r="N39" i="5" s="1"/>
  <c r="M14" i="5"/>
  <c r="M39" i="5" s="1"/>
  <c r="Q13" i="5"/>
  <c r="Q38" i="5" s="1"/>
  <c r="P13" i="5"/>
  <c r="P38" i="5" s="1"/>
  <c r="O13" i="5"/>
  <c r="O38" i="5" s="1"/>
  <c r="N13" i="5"/>
  <c r="N38" i="5" s="1"/>
  <c r="M13" i="5"/>
  <c r="M38" i="5" s="1"/>
  <c r="L31" i="5"/>
  <c r="L30" i="5"/>
  <c r="L29" i="5"/>
  <c r="L28" i="5"/>
  <c r="L53" i="5" s="1"/>
  <c r="L27" i="5"/>
  <c r="L52" i="5" s="1"/>
  <c r="L26" i="5"/>
  <c r="L51" i="5" s="1"/>
  <c r="L25" i="5"/>
  <c r="L50" i="5" s="1"/>
  <c r="L24" i="5"/>
  <c r="L49" i="5" s="1"/>
  <c r="L23" i="5"/>
  <c r="L48" i="5" s="1"/>
  <c r="L22" i="5"/>
  <c r="L47" i="5" s="1"/>
  <c r="L21" i="5"/>
  <c r="L46" i="5" s="1"/>
  <c r="L20" i="5"/>
  <c r="L45" i="5" s="1"/>
  <c r="L19" i="5"/>
  <c r="L44" i="5" s="1"/>
  <c r="L18" i="5"/>
  <c r="L43" i="5" s="1"/>
  <c r="L17" i="5"/>
  <c r="L42" i="5" s="1"/>
  <c r="L16" i="5"/>
  <c r="L41" i="5" s="1"/>
  <c r="L15" i="5"/>
  <c r="L40" i="5" s="1"/>
  <c r="L14" i="5"/>
  <c r="L39" i="5" s="1"/>
  <c r="L13" i="5"/>
  <c r="L38" i="5" s="1"/>
  <c r="C13" i="5"/>
  <c r="D13" i="5"/>
  <c r="E13" i="5"/>
  <c r="E38" i="5" s="1"/>
  <c r="F13" i="5"/>
  <c r="G13" i="5"/>
  <c r="G38" i="5" s="1"/>
  <c r="H13" i="5"/>
  <c r="I13" i="5"/>
  <c r="I38" i="5" s="1"/>
  <c r="J13" i="5"/>
  <c r="K13" i="5"/>
  <c r="K38" i="5" s="1"/>
  <c r="B14" i="5"/>
  <c r="B39" i="5" s="1"/>
  <c r="C14" i="5"/>
  <c r="C39" i="5" s="1"/>
  <c r="D14" i="5"/>
  <c r="D39" i="5" s="1"/>
  <c r="E14" i="5"/>
  <c r="E39" i="5" s="1"/>
  <c r="F14" i="5"/>
  <c r="F39" i="5" s="1"/>
  <c r="G14" i="5"/>
  <c r="H14" i="5"/>
  <c r="H39" i="5" s="1"/>
  <c r="I14" i="5"/>
  <c r="I39" i="5" s="1"/>
  <c r="J14" i="5"/>
  <c r="J39" i="5" s="1"/>
  <c r="K14" i="5"/>
  <c r="B15" i="5"/>
  <c r="B40" i="5" s="1"/>
  <c r="C15" i="5"/>
  <c r="C40" i="5" s="1"/>
  <c r="D15" i="5"/>
  <c r="D40" i="5" s="1"/>
  <c r="E15" i="5"/>
  <c r="E40" i="5" s="1"/>
  <c r="F15" i="5"/>
  <c r="F40" i="5" s="1"/>
  <c r="G15" i="5"/>
  <c r="G40" i="5" s="1"/>
  <c r="H15" i="5"/>
  <c r="H40" i="5" s="1"/>
  <c r="I15" i="5"/>
  <c r="I40" i="5" s="1"/>
  <c r="J15" i="5"/>
  <c r="K15" i="5"/>
  <c r="K40" i="5" s="1"/>
  <c r="B16" i="5"/>
  <c r="B41" i="5" s="1"/>
  <c r="C16" i="5"/>
  <c r="C41" i="5" s="1"/>
  <c r="D16" i="5"/>
  <c r="D41" i="5" s="1"/>
  <c r="E16" i="5"/>
  <c r="E41" i="5" s="1"/>
  <c r="F16" i="5"/>
  <c r="F41" i="5" s="1"/>
  <c r="G16" i="5"/>
  <c r="G41" i="5" s="1"/>
  <c r="H16" i="5"/>
  <c r="H41" i="5" s="1"/>
  <c r="I16" i="5"/>
  <c r="I41" i="5" s="1"/>
  <c r="J16" i="5"/>
  <c r="J41" i="5" s="1"/>
  <c r="K16" i="5"/>
  <c r="K41" i="5" s="1"/>
  <c r="B17" i="5"/>
  <c r="B42" i="5" s="1"/>
  <c r="C17" i="5"/>
  <c r="D17" i="5"/>
  <c r="D42" i="5" s="1"/>
  <c r="E17" i="5"/>
  <c r="E42" i="5" s="1"/>
  <c r="F17" i="5"/>
  <c r="F42" i="5" s="1"/>
  <c r="G17" i="5"/>
  <c r="G42" i="5" s="1"/>
  <c r="H17" i="5"/>
  <c r="H42" i="5" s="1"/>
  <c r="I17" i="5"/>
  <c r="I42" i="5" s="1"/>
  <c r="J17" i="5"/>
  <c r="J42" i="5" s="1"/>
  <c r="K17" i="5"/>
  <c r="K42" i="5" s="1"/>
  <c r="B18" i="5"/>
  <c r="B43" i="5" s="1"/>
  <c r="C18" i="5"/>
  <c r="C43" i="5" s="1"/>
  <c r="D18" i="5"/>
  <c r="D43" i="5" s="1"/>
  <c r="E18" i="5"/>
  <c r="E43" i="5" s="1"/>
  <c r="F18" i="5"/>
  <c r="F43" i="5" s="1"/>
  <c r="G18" i="5"/>
  <c r="G43" i="5" s="1"/>
  <c r="H18" i="5"/>
  <c r="H43" i="5" s="1"/>
  <c r="I18" i="5"/>
  <c r="I43" i="5" s="1"/>
  <c r="J18" i="5"/>
  <c r="J43" i="5" s="1"/>
  <c r="K18" i="5"/>
  <c r="K43" i="5" s="1"/>
  <c r="B19" i="5"/>
  <c r="B44" i="5" s="1"/>
  <c r="C19" i="5"/>
  <c r="C44" i="5" s="1"/>
  <c r="D19" i="5"/>
  <c r="D44" i="5" s="1"/>
  <c r="E19" i="5"/>
  <c r="E44" i="5" s="1"/>
  <c r="F19" i="5"/>
  <c r="F44" i="5" s="1"/>
  <c r="G19" i="5"/>
  <c r="G44" i="5" s="1"/>
  <c r="H19" i="5"/>
  <c r="H44" i="5" s="1"/>
  <c r="I19" i="5"/>
  <c r="I44" i="5" s="1"/>
  <c r="J19" i="5"/>
  <c r="J44" i="5" s="1"/>
  <c r="K19" i="5"/>
  <c r="K44" i="5" s="1"/>
  <c r="B20" i="5"/>
  <c r="C20" i="5"/>
  <c r="C45" i="5" s="1"/>
  <c r="D20" i="5"/>
  <c r="D45" i="5" s="1"/>
  <c r="E20" i="5"/>
  <c r="E45" i="5" s="1"/>
  <c r="F20" i="5"/>
  <c r="F45" i="5" s="1"/>
  <c r="G20" i="5"/>
  <c r="G45" i="5" s="1"/>
  <c r="H20" i="5"/>
  <c r="H45" i="5" s="1"/>
  <c r="I20" i="5"/>
  <c r="I45" i="5" s="1"/>
  <c r="J20" i="5"/>
  <c r="J45" i="5" s="1"/>
  <c r="K20" i="5"/>
  <c r="K45" i="5" s="1"/>
  <c r="B21" i="5"/>
  <c r="C21" i="5"/>
  <c r="C46" i="5" s="1"/>
  <c r="D21" i="5"/>
  <c r="D46" i="5" s="1"/>
  <c r="E21" i="5"/>
  <c r="E46" i="5" s="1"/>
  <c r="F21" i="5"/>
  <c r="F46" i="5" s="1"/>
  <c r="G21" i="5"/>
  <c r="G46" i="5" s="1"/>
  <c r="H21" i="5"/>
  <c r="H46" i="5" s="1"/>
  <c r="I21" i="5"/>
  <c r="I46" i="5" s="1"/>
  <c r="J21" i="5"/>
  <c r="J46" i="5" s="1"/>
  <c r="K21" i="5"/>
  <c r="K46" i="5" s="1"/>
  <c r="B22" i="5"/>
  <c r="B47" i="5" s="1"/>
  <c r="C22" i="5"/>
  <c r="D22" i="5"/>
  <c r="D47" i="5" s="1"/>
  <c r="E22" i="5"/>
  <c r="E47" i="5" s="1"/>
  <c r="F22" i="5"/>
  <c r="F47" i="5" s="1"/>
  <c r="G22" i="5"/>
  <c r="G47" i="5" s="1"/>
  <c r="H22" i="5"/>
  <c r="H47" i="5" s="1"/>
  <c r="I22" i="5"/>
  <c r="I47" i="5" s="1"/>
  <c r="J22" i="5"/>
  <c r="J47" i="5" s="1"/>
  <c r="K22" i="5"/>
  <c r="K47" i="5" s="1"/>
  <c r="B23" i="5"/>
  <c r="B48" i="5" s="1"/>
  <c r="C23" i="5"/>
  <c r="C48" i="5" s="1"/>
  <c r="D23" i="5"/>
  <c r="E23" i="5"/>
  <c r="E48" i="5" s="1"/>
  <c r="F23" i="5"/>
  <c r="F48" i="5" s="1"/>
  <c r="G23" i="5"/>
  <c r="G48" i="5" s="1"/>
  <c r="H23" i="5"/>
  <c r="H48" i="5" s="1"/>
  <c r="I23" i="5"/>
  <c r="I48" i="5" s="1"/>
  <c r="J23" i="5"/>
  <c r="J48" i="5" s="1"/>
  <c r="K23" i="5"/>
  <c r="B24" i="5"/>
  <c r="C24" i="5"/>
  <c r="C49" i="5" s="1"/>
  <c r="D24" i="5"/>
  <c r="E24" i="5"/>
  <c r="E49" i="5" s="1"/>
  <c r="F24" i="5"/>
  <c r="F49" i="5" s="1"/>
  <c r="G24" i="5"/>
  <c r="G49" i="5" s="1"/>
  <c r="H24" i="5"/>
  <c r="H49" i="5" s="1"/>
  <c r="I24" i="5"/>
  <c r="I49" i="5" s="1"/>
  <c r="J24" i="5"/>
  <c r="J49" i="5" s="1"/>
  <c r="K24" i="5"/>
  <c r="K49" i="5" s="1"/>
  <c r="B25" i="5"/>
  <c r="C25" i="5"/>
  <c r="C50" i="5" s="1"/>
  <c r="D25" i="5"/>
  <c r="E25" i="5"/>
  <c r="F25" i="5"/>
  <c r="F50" i="5" s="1"/>
  <c r="G25" i="5"/>
  <c r="G50" i="5" s="1"/>
  <c r="H25" i="5"/>
  <c r="H50" i="5" s="1"/>
  <c r="I25" i="5"/>
  <c r="I50" i="5" s="1"/>
  <c r="J25" i="5"/>
  <c r="J50" i="5" s="1"/>
  <c r="K25" i="5"/>
  <c r="K50" i="5" s="1"/>
  <c r="B26" i="5"/>
  <c r="B51" i="5" s="1"/>
  <c r="C26" i="5"/>
  <c r="D26" i="5"/>
  <c r="E26" i="5"/>
  <c r="E51" i="5" s="1"/>
  <c r="F26" i="5"/>
  <c r="G26" i="5"/>
  <c r="G51" i="5" s="1"/>
  <c r="H26" i="5"/>
  <c r="H51" i="5" s="1"/>
  <c r="I26" i="5"/>
  <c r="I51" i="5" s="1"/>
  <c r="J26" i="5"/>
  <c r="J51" i="5" s="1"/>
  <c r="K26" i="5"/>
  <c r="K51" i="5" s="1"/>
  <c r="B27" i="5"/>
  <c r="B52" i="5" s="1"/>
  <c r="C27" i="5"/>
  <c r="C52" i="5" s="1"/>
  <c r="D27" i="5"/>
  <c r="E27" i="5"/>
  <c r="F27" i="5"/>
  <c r="G27" i="5"/>
  <c r="G52" i="5" s="1"/>
  <c r="H27" i="5"/>
  <c r="H52" i="5" s="1"/>
  <c r="I27" i="5"/>
  <c r="I52" i="5" s="1"/>
  <c r="J27" i="5"/>
  <c r="J52" i="5" s="1"/>
  <c r="K27" i="5"/>
  <c r="K52" i="5" s="1"/>
  <c r="B28" i="5"/>
  <c r="C28" i="5"/>
  <c r="D28" i="5"/>
  <c r="E28" i="5"/>
  <c r="E53" i="5" s="1"/>
  <c r="F28" i="5"/>
  <c r="G28" i="5"/>
  <c r="H28" i="5"/>
  <c r="H53" i="5" s="1"/>
  <c r="I28" i="5"/>
  <c r="I53" i="5" s="1"/>
  <c r="J28" i="5"/>
  <c r="J53" i="5" s="1"/>
  <c r="K28" i="5"/>
  <c r="K53" i="5" s="1"/>
  <c r="B29" i="5"/>
  <c r="C29" i="5"/>
  <c r="C54" i="5" s="1"/>
  <c r="D29" i="5"/>
  <c r="E29" i="5"/>
  <c r="F29" i="5"/>
  <c r="G29" i="5"/>
  <c r="G54" i="5" s="1"/>
  <c r="H29" i="5"/>
  <c r="I29" i="5"/>
  <c r="I54" i="5" s="1"/>
  <c r="J29" i="5"/>
  <c r="J54" i="5" s="1"/>
  <c r="K29" i="5"/>
  <c r="K54" i="5" s="1"/>
  <c r="B30" i="5"/>
  <c r="B55" i="5" s="1"/>
  <c r="C30" i="5"/>
  <c r="D30" i="5"/>
  <c r="E30" i="5"/>
  <c r="E55" i="5" s="1"/>
  <c r="F30" i="5"/>
  <c r="G30" i="5"/>
  <c r="H30" i="5"/>
  <c r="I30" i="5"/>
  <c r="I55" i="5" s="1"/>
  <c r="J30" i="5"/>
  <c r="J55" i="5" s="1"/>
  <c r="K30" i="5"/>
  <c r="K55" i="5" s="1"/>
  <c r="B31" i="5"/>
  <c r="B56" i="5" s="1"/>
  <c r="C31" i="5"/>
  <c r="C56" i="5" s="1"/>
  <c r="D31" i="5"/>
  <c r="D56" i="5" s="1"/>
  <c r="E31" i="5"/>
  <c r="F31" i="5"/>
  <c r="G31" i="5"/>
  <c r="G56" i="5" s="1"/>
  <c r="H31" i="5"/>
  <c r="I31" i="5"/>
  <c r="J31" i="5"/>
  <c r="J56" i="5" s="1"/>
  <c r="K31" i="5"/>
  <c r="K56" i="5" s="1"/>
  <c r="K48" i="5" l="1"/>
  <c r="K100" i="5" s="1"/>
  <c r="C42" i="5"/>
  <c r="C94" i="5" s="1"/>
  <c r="C38" i="5"/>
  <c r="C90" i="5" s="1"/>
  <c r="C108" i="5"/>
  <c r="E105" i="5"/>
  <c r="C102" i="5"/>
  <c r="K92" i="5"/>
  <c r="Q53" i="5"/>
  <c r="Q79" i="5" s="1"/>
  <c r="P54" i="5"/>
  <c r="P80" i="5" s="1"/>
  <c r="O55" i="5"/>
  <c r="O81" i="5" s="1"/>
  <c r="L90" i="5"/>
  <c r="P90" i="5"/>
  <c r="N91" i="5"/>
  <c r="L92" i="5"/>
  <c r="P92" i="5"/>
  <c r="N93" i="5"/>
  <c r="L94" i="5"/>
  <c r="P94" i="5"/>
  <c r="O95" i="5"/>
  <c r="O96" i="5"/>
  <c r="M97" i="5"/>
  <c r="L98" i="5"/>
  <c r="Q98" i="5"/>
  <c r="P99" i="5"/>
  <c r="P100" i="5"/>
  <c r="N101" i="5"/>
  <c r="L102" i="5"/>
  <c r="Q102" i="5"/>
  <c r="O103" i="5"/>
  <c r="O104" i="5"/>
  <c r="M105" i="5"/>
  <c r="M64" i="5"/>
  <c r="Q64" i="5"/>
  <c r="O65" i="5"/>
  <c r="M66" i="5"/>
  <c r="Q66" i="5"/>
  <c r="O67" i="5"/>
  <c r="M68" i="5"/>
  <c r="L69" i="5"/>
  <c r="P69" i="5"/>
  <c r="P70" i="5"/>
  <c r="O71" i="5"/>
  <c r="M72" i="5"/>
  <c r="L73" i="5"/>
  <c r="Q73" i="5"/>
  <c r="P74" i="5"/>
  <c r="O75" i="5"/>
  <c r="M76" i="5"/>
  <c r="Q76" i="5"/>
  <c r="P77" i="5"/>
  <c r="P78" i="5"/>
  <c r="O79" i="5"/>
  <c r="I108" i="5"/>
  <c r="I56" i="5"/>
  <c r="F108" i="5"/>
  <c r="F56" i="5"/>
  <c r="H107" i="5"/>
  <c r="H55" i="5"/>
  <c r="D81" i="5"/>
  <c r="D55" i="5"/>
  <c r="F106" i="5"/>
  <c r="F54" i="5"/>
  <c r="B106" i="5"/>
  <c r="B54" i="5"/>
  <c r="D105" i="5"/>
  <c r="D53" i="5"/>
  <c r="F104" i="5"/>
  <c r="F52" i="5"/>
  <c r="D103" i="5"/>
  <c r="D51" i="5"/>
  <c r="B102" i="5"/>
  <c r="B50" i="5"/>
  <c r="D101" i="5"/>
  <c r="D49" i="5"/>
  <c r="B98" i="5"/>
  <c r="B46" i="5"/>
  <c r="J92" i="5"/>
  <c r="J40" i="5"/>
  <c r="J90" i="5"/>
  <c r="J38" i="5"/>
  <c r="F90" i="5"/>
  <c r="F38" i="5"/>
  <c r="E107" i="5"/>
  <c r="G104" i="5"/>
  <c r="E101" i="5"/>
  <c r="I91" i="5"/>
  <c r="L54" i="5"/>
  <c r="L106" i="5" s="1"/>
  <c r="M54" i="5"/>
  <c r="M80" i="5" s="1"/>
  <c r="Q54" i="5"/>
  <c r="Q80" i="5" s="1"/>
  <c r="P55" i="5"/>
  <c r="P107" i="5" s="1"/>
  <c r="O56" i="5"/>
  <c r="O108" i="5" s="1"/>
  <c r="M90" i="5"/>
  <c r="Q90" i="5"/>
  <c r="O91" i="5"/>
  <c r="M92" i="5"/>
  <c r="Q92" i="5"/>
  <c r="O93" i="5"/>
  <c r="M94" i="5"/>
  <c r="Q94" i="5"/>
  <c r="P95" i="5"/>
  <c r="P96" i="5"/>
  <c r="O97" i="5"/>
  <c r="M98" i="5"/>
  <c r="L99" i="5"/>
  <c r="Q99" i="5"/>
  <c r="Q100" i="5"/>
  <c r="O101" i="5"/>
  <c r="M102" i="5"/>
  <c r="L103" i="5"/>
  <c r="P103" i="5"/>
  <c r="P104" i="5"/>
  <c r="O105" i="5"/>
  <c r="N64" i="5"/>
  <c r="L65" i="5"/>
  <c r="P65" i="5"/>
  <c r="N66" i="5"/>
  <c r="L67" i="5"/>
  <c r="P67" i="5"/>
  <c r="O68" i="5"/>
  <c r="M69" i="5"/>
  <c r="Q69" i="5"/>
  <c r="Q70" i="5"/>
  <c r="P71" i="5"/>
  <c r="O72" i="5"/>
  <c r="M73" i="5"/>
  <c r="L74" i="5"/>
  <c r="Q74" i="5"/>
  <c r="P75" i="5"/>
  <c r="N76" i="5"/>
  <c r="L77" i="5"/>
  <c r="Q77" i="5"/>
  <c r="Q78" i="5"/>
  <c r="G107" i="5"/>
  <c r="G55" i="5"/>
  <c r="C107" i="5"/>
  <c r="C55" i="5"/>
  <c r="E106" i="5"/>
  <c r="E54" i="5"/>
  <c r="G105" i="5"/>
  <c r="G53" i="5"/>
  <c r="C105" i="5"/>
  <c r="C53" i="5"/>
  <c r="E104" i="5"/>
  <c r="E52" i="5"/>
  <c r="C103" i="5"/>
  <c r="C51" i="5"/>
  <c r="E102" i="5"/>
  <c r="E50" i="5"/>
  <c r="C73" i="5"/>
  <c r="C47" i="5"/>
  <c r="K91" i="5"/>
  <c r="K39" i="5"/>
  <c r="G91" i="5"/>
  <c r="G39" i="5"/>
  <c r="G106" i="5"/>
  <c r="C104" i="5"/>
  <c r="C100" i="5"/>
  <c r="K90" i="5"/>
  <c r="L55" i="5"/>
  <c r="L107" i="5" s="1"/>
  <c r="M55" i="5"/>
  <c r="M81" i="5" s="1"/>
  <c r="Q55" i="5"/>
  <c r="Q81" i="5" s="1"/>
  <c r="P56" i="5"/>
  <c r="P108" i="5" s="1"/>
  <c r="N90" i="5"/>
  <c r="L91" i="5"/>
  <c r="P91" i="5"/>
  <c r="N92" i="5"/>
  <c r="L93" i="5"/>
  <c r="P93" i="5"/>
  <c r="N94" i="5"/>
  <c r="L95" i="5"/>
  <c r="Q95" i="5"/>
  <c r="Q96" i="5"/>
  <c r="P97" i="5"/>
  <c r="O98" i="5"/>
  <c r="M99" i="5"/>
  <c r="L100" i="5"/>
  <c r="L101" i="5"/>
  <c r="P101" i="5"/>
  <c r="O102" i="5"/>
  <c r="M103" i="5"/>
  <c r="Q103" i="5"/>
  <c r="Q104" i="5"/>
  <c r="O64" i="5"/>
  <c r="M65" i="5"/>
  <c r="Q65" i="5"/>
  <c r="O66" i="5"/>
  <c r="M67" i="5"/>
  <c r="Q67" i="5"/>
  <c r="P68" i="5"/>
  <c r="N69" i="5"/>
  <c r="L70" i="5"/>
  <c r="L71" i="5"/>
  <c r="Q71" i="5"/>
  <c r="P72" i="5"/>
  <c r="O73" i="5"/>
  <c r="N74" i="5"/>
  <c r="L75" i="5"/>
  <c r="Q75" i="5"/>
  <c r="O76" i="5"/>
  <c r="M77" i="5"/>
  <c r="L78" i="5"/>
  <c r="L79" i="5"/>
  <c r="E108" i="5"/>
  <c r="E56" i="5"/>
  <c r="H108" i="5"/>
  <c r="H56" i="5"/>
  <c r="F107" i="5"/>
  <c r="F55" i="5"/>
  <c r="H106" i="5"/>
  <c r="H54" i="5"/>
  <c r="D80" i="5"/>
  <c r="D54" i="5"/>
  <c r="F105" i="5"/>
  <c r="F53" i="5"/>
  <c r="B79" i="5"/>
  <c r="B53" i="5"/>
  <c r="D104" i="5"/>
  <c r="D52" i="5"/>
  <c r="F103" i="5"/>
  <c r="F51" i="5"/>
  <c r="D102" i="5"/>
  <c r="D50" i="5"/>
  <c r="B75" i="5"/>
  <c r="B49" i="5"/>
  <c r="D100" i="5"/>
  <c r="D48" i="5"/>
  <c r="B71" i="5"/>
  <c r="B45" i="5"/>
  <c r="H90" i="5"/>
  <c r="H38" i="5"/>
  <c r="D90" i="5"/>
  <c r="D38" i="5"/>
  <c r="G108" i="5"/>
  <c r="C106" i="5"/>
  <c r="E103" i="5"/>
  <c r="C98" i="5"/>
  <c r="G90" i="5"/>
  <c r="L56" i="5"/>
  <c r="L108" i="5" s="1"/>
  <c r="M44" i="5"/>
  <c r="M70" i="5" s="1"/>
  <c r="M48" i="5"/>
  <c r="M74" i="5" s="1"/>
  <c r="M52" i="5"/>
  <c r="M78" i="5" s="1"/>
  <c r="P53" i="5"/>
  <c r="P105" i="5" s="1"/>
  <c r="O54" i="5"/>
  <c r="O106" i="5" s="1"/>
  <c r="M56" i="5"/>
  <c r="M82" i="5" s="1"/>
  <c r="Q56" i="5"/>
  <c r="Q82" i="5" s="1"/>
  <c r="O90" i="5"/>
  <c r="M91" i="5"/>
  <c r="Q91" i="5"/>
  <c r="O92" i="5"/>
  <c r="M93" i="5"/>
  <c r="Q93" i="5"/>
  <c r="O94" i="5"/>
  <c r="M95" i="5"/>
  <c r="L96" i="5"/>
  <c r="L97" i="5"/>
  <c r="Q97" i="5"/>
  <c r="P98" i="5"/>
  <c r="O99" i="5"/>
  <c r="O100" i="5"/>
  <c r="M101" i="5"/>
  <c r="Q101" i="5"/>
  <c r="P102" i="5"/>
  <c r="N103" i="5"/>
  <c r="L104" i="5"/>
  <c r="L105" i="5"/>
  <c r="N108" i="5"/>
  <c r="L64" i="5"/>
  <c r="P64" i="5"/>
  <c r="N65" i="5"/>
  <c r="L66" i="5"/>
  <c r="P66" i="5"/>
  <c r="N67" i="5"/>
  <c r="L68" i="5"/>
  <c r="Q68" i="5"/>
  <c r="O69" i="5"/>
  <c r="O70" i="5"/>
  <c r="M71" i="5"/>
  <c r="L72" i="5"/>
  <c r="Q72" i="5"/>
  <c r="P73" i="5"/>
  <c r="O74" i="5"/>
  <c r="M75" i="5"/>
  <c r="L76" i="5"/>
  <c r="P76" i="5"/>
  <c r="O77" i="5"/>
  <c r="O78" i="5"/>
  <c r="M79" i="5"/>
  <c r="N97" i="5"/>
  <c r="N99" i="5"/>
  <c r="N104" i="5"/>
  <c r="N106" i="5"/>
  <c r="N70" i="5"/>
  <c r="N72" i="5"/>
  <c r="N79" i="5"/>
  <c r="N81" i="5"/>
  <c r="J105" i="5"/>
  <c r="B108" i="5"/>
  <c r="D107" i="5"/>
  <c r="B104" i="5"/>
  <c r="B100" i="5"/>
  <c r="H99" i="5"/>
  <c r="B96" i="5"/>
  <c r="H95" i="5"/>
  <c r="B92" i="5"/>
  <c r="H91" i="5"/>
  <c r="C101" i="5"/>
  <c r="C99" i="5"/>
  <c r="I98" i="5"/>
  <c r="E98" i="5"/>
  <c r="K97" i="5"/>
  <c r="G97" i="5"/>
  <c r="C97" i="5"/>
  <c r="I94" i="5"/>
  <c r="E94" i="5"/>
  <c r="K93" i="5"/>
  <c r="G93" i="5"/>
  <c r="C91" i="5"/>
  <c r="I90" i="5"/>
  <c r="E90" i="5"/>
  <c r="D108" i="5"/>
  <c r="B107" i="5"/>
  <c r="D106" i="5"/>
  <c r="B105" i="5"/>
  <c r="B103" i="5"/>
  <c r="B101" i="5"/>
  <c r="H100" i="5"/>
  <c r="J99" i="5"/>
  <c r="F99" i="5"/>
  <c r="B99" i="5"/>
  <c r="J97" i="5"/>
  <c r="F97" i="5"/>
  <c r="B97" i="5"/>
  <c r="H96" i="5"/>
  <c r="J95" i="5"/>
  <c r="F95" i="5"/>
  <c r="B95" i="5"/>
  <c r="J93" i="5"/>
  <c r="F93" i="5"/>
  <c r="H92" i="5"/>
  <c r="J91" i="5"/>
  <c r="F91" i="5"/>
  <c r="B91" i="5"/>
  <c r="E80" i="5"/>
  <c r="J108" i="5"/>
  <c r="F82" i="5"/>
  <c r="K107" i="5"/>
  <c r="I105" i="5"/>
  <c r="E79" i="5"/>
  <c r="J104" i="5"/>
  <c r="F78" i="5"/>
  <c r="K77" i="5"/>
  <c r="G77" i="5"/>
  <c r="H76" i="5"/>
  <c r="I101" i="5"/>
  <c r="E75" i="5"/>
  <c r="K65" i="5"/>
  <c r="H64" i="5"/>
  <c r="H94" i="5"/>
  <c r="H98" i="5"/>
  <c r="K108" i="5"/>
  <c r="I82" i="5"/>
  <c r="E82" i="5"/>
  <c r="J107" i="5"/>
  <c r="F81" i="5"/>
  <c r="K106" i="5"/>
  <c r="H79" i="5"/>
  <c r="I78" i="5"/>
  <c r="E78" i="5"/>
  <c r="J77" i="5"/>
  <c r="K102" i="5"/>
  <c r="H101" i="5"/>
  <c r="I100" i="5"/>
  <c r="J73" i="5"/>
  <c r="F73" i="5"/>
  <c r="J69" i="5"/>
  <c r="F69" i="5"/>
  <c r="J65" i="5"/>
  <c r="F65" i="5"/>
  <c r="K64" i="5"/>
  <c r="G64" i="5"/>
  <c r="E92" i="5"/>
  <c r="I92" i="5"/>
  <c r="G95" i="5"/>
  <c r="K95" i="5"/>
  <c r="E96" i="5"/>
  <c r="I96" i="5"/>
  <c r="G99" i="5"/>
  <c r="K99" i="5"/>
  <c r="E100" i="5"/>
  <c r="J100" i="5"/>
  <c r="H82" i="5"/>
  <c r="E81" i="5"/>
  <c r="J106" i="5"/>
  <c r="F80" i="5"/>
  <c r="K105" i="5"/>
  <c r="G79" i="5"/>
  <c r="H104" i="5"/>
  <c r="I103" i="5"/>
  <c r="E77" i="5"/>
  <c r="J102" i="5"/>
  <c r="F102" i="5"/>
  <c r="K101" i="5"/>
  <c r="G101" i="5"/>
  <c r="H74" i="5"/>
  <c r="K71" i="5"/>
  <c r="G71" i="5"/>
  <c r="H70" i="5"/>
  <c r="K67" i="5"/>
  <c r="G67" i="5"/>
  <c r="H66" i="5"/>
  <c r="I65" i="5"/>
  <c r="J64" i="5"/>
  <c r="F64" i="5"/>
  <c r="F92" i="5"/>
  <c r="H93" i="5"/>
  <c r="F68" i="5"/>
  <c r="J94" i="5"/>
  <c r="F96" i="5"/>
  <c r="J96" i="5"/>
  <c r="H97" i="5"/>
  <c r="F72" i="5"/>
  <c r="J98" i="5"/>
  <c r="F100" i="5"/>
  <c r="G82" i="5"/>
  <c r="H81" i="5"/>
  <c r="I106" i="5"/>
  <c r="F79" i="5"/>
  <c r="K104" i="5"/>
  <c r="H77" i="5"/>
  <c r="I76" i="5"/>
  <c r="E76" i="5"/>
  <c r="J75" i="5"/>
  <c r="F101" i="5"/>
  <c r="K74" i="5"/>
  <c r="H73" i="5"/>
  <c r="I72" i="5"/>
  <c r="E72" i="5"/>
  <c r="J71" i="5"/>
  <c r="F71" i="5"/>
  <c r="H69" i="5"/>
  <c r="I68" i="5"/>
  <c r="E68" i="5"/>
  <c r="J67" i="5"/>
  <c r="F67" i="5"/>
  <c r="H65" i="5"/>
  <c r="I64" i="5"/>
  <c r="E64" i="5"/>
  <c r="G92" i="5"/>
  <c r="E93" i="5"/>
  <c r="I93" i="5"/>
  <c r="G94" i="5"/>
  <c r="K94" i="5"/>
  <c r="I95" i="5"/>
  <c r="G96" i="5"/>
  <c r="K96" i="5"/>
  <c r="E97" i="5"/>
  <c r="I97" i="5"/>
  <c r="G98" i="5"/>
  <c r="K98" i="5"/>
  <c r="I99" i="5"/>
  <c r="G100" i="5"/>
  <c r="C75" i="5"/>
  <c r="C72" i="5"/>
  <c r="C81" i="5"/>
  <c r="C95" i="5"/>
  <c r="C68" i="5"/>
  <c r="C71" i="5"/>
  <c r="C67" i="5"/>
  <c r="C77" i="5"/>
  <c r="D93" i="5"/>
  <c r="D71" i="5"/>
  <c r="D72" i="5"/>
  <c r="C76" i="5"/>
  <c r="C79" i="5"/>
  <c r="D64" i="5"/>
  <c r="D91" i="5"/>
  <c r="D78" i="5"/>
  <c r="D79" i="5"/>
  <c r="D74" i="5"/>
  <c r="D75" i="5"/>
  <c r="D76" i="5"/>
  <c r="D77" i="5"/>
  <c r="D70" i="5"/>
  <c r="D99" i="5"/>
  <c r="D82" i="5"/>
  <c r="D92" i="5"/>
  <c r="D68" i="5"/>
  <c r="D69" i="5"/>
  <c r="C96" i="5"/>
  <c r="C65" i="5"/>
  <c r="C80" i="5"/>
  <c r="C92" i="5"/>
  <c r="C74" i="5"/>
  <c r="C78" i="5"/>
  <c r="B67" i="5"/>
  <c r="B72" i="5"/>
  <c r="B76" i="5"/>
  <c r="B80" i="5"/>
  <c r="B94" i="5"/>
  <c r="B65" i="5"/>
  <c r="B69" i="5"/>
  <c r="B73" i="5"/>
  <c r="B77" i="5"/>
  <c r="B81" i="5"/>
  <c r="B66" i="5"/>
  <c r="B70" i="5"/>
  <c r="B74" i="5"/>
  <c r="B78" i="5"/>
  <c r="B82" i="5"/>
  <c r="B50" i="14"/>
  <c r="D50" i="14" s="1"/>
  <c r="B48" i="14"/>
  <c r="O107" i="5" l="1"/>
  <c r="M104" i="5"/>
  <c r="P106" i="5"/>
  <c r="C64" i="5"/>
  <c r="M100" i="5"/>
  <c r="M107" i="5"/>
  <c r="Q105" i="5"/>
  <c r="M96" i="5"/>
  <c r="O82" i="5"/>
  <c r="O80" i="5"/>
  <c r="Q108" i="5"/>
  <c r="M108" i="5"/>
  <c r="P79" i="5"/>
  <c r="P82" i="5"/>
  <c r="L81" i="5"/>
  <c r="M106" i="5"/>
  <c r="P81" i="5"/>
  <c r="Q107" i="5"/>
  <c r="Q106" i="5"/>
  <c r="L82" i="5"/>
  <c r="L80" i="5"/>
  <c r="D95" i="5"/>
  <c r="K103" i="5"/>
  <c r="D94" i="5"/>
  <c r="E73" i="5"/>
  <c r="E99" i="5"/>
  <c r="E69" i="5"/>
  <c r="E95" i="5"/>
  <c r="E65" i="5"/>
  <c r="E91" i="5"/>
  <c r="I104" i="5"/>
  <c r="F98" i="5"/>
  <c r="H103" i="5"/>
  <c r="C93" i="5"/>
  <c r="I102" i="5"/>
  <c r="J103" i="5"/>
  <c r="F94" i="5"/>
  <c r="D96" i="5"/>
  <c r="J101" i="5"/>
  <c r="I81" i="5"/>
  <c r="I107" i="5"/>
  <c r="G76" i="5"/>
  <c r="G102" i="5"/>
  <c r="G103" i="5"/>
  <c r="D97" i="5"/>
  <c r="H105" i="5"/>
  <c r="B93" i="5"/>
  <c r="D98" i="5"/>
  <c r="H102" i="5"/>
  <c r="H80" i="5"/>
  <c r="G80" i="5"/>
  <c r="G81" i="5"/>
  <c r="G78" i="5"/>
  <c r="F77" i="5"/>
  <c r="K66" i="5"/>
  <c r="J66" i="5"/>
  <c r="G65" i="5"/>
  <c r="J79" i="5"/>
  <c r="I79" i="5"/>
  <c r="J76" i="5"/>
  <c r="K80" i="5"/>
  <c r="K82" i="5"/>
  <c r="J81" i="5"/>
  <c r="K78" i="5"/>
  <c r="I77" i="5"/>
  <c r="I66" i="5"/>
  <c r="C69" i="5"/>
  <c r="F75" i="5"/>
  <c r="K75" i="5"/>
  <c r="I74" i="5"/>
  <c r="J78" i="5"/>
  <c r="J68" i="5"/>
  <c r="G75" i="5"/>
  <c r="D65" i="5"/>
  <c r="K81" i="5"/>
  <c r="G66" i="5"/>
  <c r="G70" i="5"/>
  <c r="G74" i="5"/>
  <c r="G68" i="5"/>
  <c r="I70" i="5"/>
  <c r="G72" i="5"/>
  <c r="F66" i="5"/>
  <c r="E67" i="5"/>
  <c r="H68" i="5"/>
  <c r="K69" i="5"/>
  <c r="F70" i="5"/>
  <c r="E71" i="5"/>
  <c r="H72" i="5"/>
  <c r="K73" i="5"/>
  <c r="F74" i="5"/>
  <c r="I69" i="5"/>
  <c r="J72" i="5"/>
  <c r="I73" i="5"/>
  <c r="F76" i="5"/>
  <c r="H78" i="5"/>
  <c r="K79" i="5"/>
  <c r="K70" i="5"/>
  <c r="I80" i="5"/>
  <c r="J80" i="5"/>
  <c r="E66" i="5"/>
  <c r="H67" i="5"/>
  <c r="K68" i="5"/>
  <c r="E70" i="5"/>
  <c r="H71" i="5"/>
  <c r="K72" i="5"/>
  <c r="E74" i="5"/>
  <c r="H75" i="5"/>
  <c r="K76" i="5"/>
  <c r="I67" i="5"/>
  <c r="G69" i="5"/>
  <c r="J70" i="5"/>
  <c r="I71" i="5"/>
  <c r="G73" i="5"/>
  <c r="J74" i="5"/>
  <c r="I75" i="5"/>
  <c r="J82" i="5"/>
  <c r="D67" i="5"/>
  <c r="D73" i="5"/>
  <c r="C70" i="5"/>
  <c r="C82" i="5"/>
  <c r="B68" i="5"/>
  <c r="D66" i="5"/>
  <c r="C66" i="5"/>
  <c r="B13" i="5" l="1"/>
  <c r="B38" i="5" s="1"/>
  <c r="B90" i="5" l="1"/>
  <c r="B64" i="5" l="1"/>
  <c r="G6" i="5" l="1"/>
  <c r="G5" i="5"/>
  <c r="G4" i="5"/>
  <c r="C5" i="11" l="1"/>
  <c r="C7" i="11"/>
  <c r="Z7" i="11" s="1"/>
  <c r="C5" i="14"/>
  <c r="C43" i="14" s="1"/>
  <c r="C23" i="11"/>
  <c r="B23" i="11" s="1"/>
  <c r="D22" i="11"/>
  <c r="Z22" i="11" s="1"/>
  <c r="C25" i="11"/>
  <c r="C25" i="14" s="1"/>
  <c r="C8" i="11"/>
  <c r="Z8" i="11" s="1"/>
  <c r="C6" i="11"/>
  <c r="Z6" i="11" s="1"/>
  <c r="B34" i="14"/>
  <c r="C20" i="11"/>
  <c r="C24" i="11"/>
  <c r="C24" i="14" s="1"/>
  <c r="B71" i="14" l="1"/>
  <c r="C21" i="11"/>
  <c r="C28" i="14" s="1"/>
  <c r="C23" i="14"/>
  <c r="C27" i="14" s="1"/>
  <c r="B25" i="11"/>
  <c r="D25" i="11" s="1"/>
  <c r="Z25" i="11" s="1"/>
  <c r="B39" i="14"/>
  <c r="B24" i="11"/>
  <c r="D24" i="11" s="1"/>
  <c r="Z24" i="11" s="1"/>
  <c r="D23" i="11"/>
  <c r="Z23" i="11" s="1"/>
  <c r="C22" i="11"/>
  <c r="B18" i="14"/>
  <c r="B37" i="14"/>
  <c r="B98" i="14" l="1"/>
  <c r="B97" i="14"/>
  <c r="B90" i="14"/>
  <c r="C26" i="14"/>
  <c r="C26" i="11"/>
  <c r="D24" i="14"/>
  <c r="D25" i="14"/>
  <c r="D23" i="14"/>
  <c r="Z26" i="11"/>
  <c r="D26" i="11" s="1"/>
  <c r="B22" i="11"/>
  <c r="B26" i="11" s="1"/>
  <c r="C44" i="14" l="1"/>
  <c r="C6" i="14"/>
  <c r="D29" i="14"/>
  <c r="D28" i="14"/>
  <c r="D27" i="14"/>
  <c r="C30" i="14"/>
  <c r="B44" i="14"/>
  <c r="D44" i="14" s="1"/>
  <c r="B6" i="14"/>
  <c r="C47" i="14" l="1"/>
  <c r="D51" i="14" s="1"/>
  <c r="B45" i="14"/>
  <c r="D18" i="14"/>
  <c r="D90" i="14"/>
  <c r="D98" i="14"/>
  <c r="D71" i="14"/>
  <c r="D97" i="14"/>
  <c r="C12" i="14"/>
  <c r="C46" i="14" s="1"/>
  <c r="B10" i="14"/>
  <c r="C10" i="14" s="1"/>
  <c r="B69" i="14" l="1"/>
  <c r="B12" i="14"/>
  <c r="B46" i="14" l="1"/>
  <c r="D46" i="14" s="1"/>
  <c r="C49" i="14"/>
  <c r="B70" i="14" s="1"/>
  <c r="B96" i="14" s="1"/>
  <c r="D96" i="14" s="1"/>
  <c r="B47" i="14"/>
  <c r="D47" i="14" s="1"/>
  <c r="D45" i="14"/>
  <c r="D70" i="14" l="1"/>
  <c r="B89" i="14"/>
  <c r="D89" i="14" s="1"/>
  <c r="B49" i="14"/>
  <c r="D49" i="14" s="1"/>
  <c r="D48" i="14"/>
  <c r="B95" i="14"/>
  <c r="D95" i="14" s="1"/>
  <c r="B88" i="14"/>
  <c r="D88" i="14" s="1"/>
  <c r="B94" i="14"/>
  <c r="D94" i="14" s="1"/>
  <c r="B93" i="14"/>
  <c r="D93" i="14" s="1"/>
  <c r="D69" i="14"/>
</calcChain>
</file>

<file path=xl/sharedStrings.xml><?xml version="1.0" encoding="utf-8"?>
<sst xmlns="http://schemas.openxmlformats.org/spreadsheetml/2006/main" count="389" uniqueCount="231">
  <si>
    <t xml:space="preserve"> </t>
  </si>
  <si>
    <t>Units</t>
  </si>
  <si>
    <t>Description</t>
  </si>
  <si>
    <t>SQFT</t>
  </si>
  <si>
    <t>PPH</t>
  </si>
  <si>
    <t>Variables</t>
  </si>
  <si>
    <t>SQFT in Acres</t>
  </si>
  <si>
    <t>Unit</t>
  </si>
  <si>
    <t>500 to 1200</t>
  </si>
  <si>
    <t>Less than 500</t>
  </si>
  <si>
    <t>Greater than 1200</t>
  </si>
  <si>
    <t>Unit Type</t>
  </si>
  <si>
    <t># of Units</t>
  </si>
  <si>
    <t>Notes</t>
  </si>
  <si>
    <t>Acres</t>
  </si>
  <si>
    <t>Arterial Buffer</t>
  </si>
  <si>
    <t>Collector Buffer</t>
  </si>
  <si>
    <t>Local Buffer</t>
  </si>
  <si>
    <t>Name</t>
  </si>
  <si>
    <t>5</t>
  </si>
  <si>
    <t>6</t>
  </si>
  <si>
    <t>7</t>
  </si>
  <si>
    <t>8</t>
  </si>
  <si>
    <t>9</t>
  </si>
  <si>
    <t>10</t>
  </si>
  <si>
    <t>11</t>
  </si>
  <si>
    <t>12</t>
  </si>
  <si>
    <t>13</t>
  </si>
  <si>
    <t>14</t>
  </si>
  <si>
    <t>15</t>
  </si>
  <si>
    <t>16</t>
  </si>
  <si>
    <t>17</t>
  </si>
  <si>
    <t>18</t>
  </si>
  <si>
    <t>19</t>
  </si>
  <si>
    <t>20</t>
  </si>
  <si>
    <t>Project Size (Acres)</t>
  </si>
  <si>
    <t>Total OS Comparison (Acres)</t>
  </si>
  <si>
    <t>Density Matrix (DU/Acre)</t>
  </si>
  <si>
    <t>Effective % Open Space</t>
  </si>
  <si>
    <t>Project Size</t>
  </si>
  <si>
    <t>This matrix calculates the actual open space for varying units, project sizes, and includes both average per unit requirement and % open space.</t>
  </si>
  <si>
    <t>Ratio of OS to Units (SQFT per Unit)</t>
  </si>
  <si>
    <t>Min Project Size</t>
  </si>
  <si>
    <t>Max Density</t>
  </si>
  <si>
    <t>Min Density</t>
  </si>
  <si>
    <t>(default 40)</t>
  </si>
  <si>
    <t>(default 8)</t>
  </si>
  <si>
    <t>Community Development</t>
  </si>
  <si>
    <t>Open space requirements in the UDC can be found at the links below:</t>
  </si>
  <si>
    <t xml:space="preserve">Single-family: </t>
  </si>
  <si>
    <t>Multi-family:</t>
  </si>
  <si>
    <t>General UDC:</t>
  </si>
  <si>
    <t>https://meridiancity.org/planning/UDC</t>
  </si>
  <si>
    <t>https://bit.ly/3EnLLNN</t>
  </si>
  <si>
    <t>https://bit.ly/3zbKiGM</t>
  </si>
  <si>
    <t>Link</t>
  </si>
  <si>
    <t>O.S. Matrix</t>
  </si>
  <si>
    <t>Contact the Planning Division at 33 E Broadway Ave, Suite 102, Meridian ID 83642, or
208.884.5533, or https://meridiancity.org/planning/, or planning@meridiancity.org.</t>
  </si>
  <si>
    <r>
      <rPr>
        <b/>
        <sz val="12"/>
        <color theme="7"/>
        <rFont val="Wingdings"/>
        <charset val="2"/>
      </rPr>
      <t>p</t>
    </r>
    <r>
      <rPr>
        <b/>
        <sz val="12"/>
        <color theme="0"/>
        <rFont val="Calibri"/>
        <family val="2"/>
        <scheme val="minor"/>
      </rPr>
      <t xml:space="preserve"> Questions?</t>
    </r>
  </si>
  <si>
    <t>small_unit</t>
  </si>
  <si>
    <t>med_unit</t>
  </si>
  <si>
    <t>large_unit</t>
  </si>
  <si>
    <t>Residential Open Space Information</t>
  </si>
  <si>
    <t>3. Final Results</t>
  </si>
  <si>
    <r>
      <rPr>
        <b/>
        <sz val="11"/>
        <color theme="1"/>
        <rFont val="Calibri"/>
        <family val="2"/>
        <scheme val="minor"/>
      </rPr>
      <t>Note:</t>
    </r>
    <r>
      <rPr>
        <sz val="11"/>
        <color theme="1"/>
        <rFont val="Calibri"/>
        <family val="2"/>
        <scheme val="minor"/>
      </rPr>
      <t xml:space="preserve"> The Community Development Department makes all efforts to maintain these links, but the 3rd Party host sometimes  changes them. See the General UDC link for the most up to date references.</t>
    </r>
  </si>
  <si>
    <t>Inputs</t>
  </si>
  <si>
    <t>Zoning List</t>
  </si>
  <si>
    <t>R-2</t>
  </si>
  <si>
    <t>R-4</t>
  </si>
  <si>
    <t>R-8</t>
  </si>
  <si>
    <t>R-15</t>
  </si>
  <si>
    <t>R-40</t>
  </si>
  <si>
    <t>O-T</t>
  </si>
  <si>
    <t>TN-R</t>
  </si>
  <si>
    <t>TN-C</t>
  </si>
  <si>
    <t>Large units greater than 1,200 SQFT</t>
  </si>
  <si>
    <t>1. Site Characteristics (all residential projects)</t>
  </si>
  <si>
    <t>Calculated value based on zoning</t>
  </si>
  <si>
    <t>None</t>
  </si>
  <si>
    <t>Total Per Unit O.S. (Multi-family)</t>
  </si>
  <si>
    <t>O.S. Analysis</t>
  </si>
  <si>
    <t>Quantity</t>
  </si>
  <si>
    <t>Units/Acre</t>
  </si>
  <si>
    <t>Overall Density</t>
  </si>
  <si>
    <t>Average O.S. Per Unit</t>
  </si>
  <si>
    <t>Average O.S. Per Unit, Usable</t>
  </si>
  <si>
    <t>Average O.S. Per Unit, Qualified</t>
  </si>
  <si>
    <t>Average O.S. Per Unit, Total</t>
  </si>
  <si>
    <t>Total, Usable O.S.</t>
  </si>
  <si>
    <t>O.S. SQFT</t>
  </si>
  <si>
    <t>Total Number of Dwelling Units</t>
  </si>
  <si>
    <t>Total # of Multi-family Units</t>
  </si>
  <si>
    <r>
      <rPr>
        <b/>
        <sz val="12"/>
        <color theme="7"/>
        <rFont val="Wingdings"/>
        <charset val="2"/>
      </rPr>
      <t>p</t>
    </r>
    <r>
      <rPr>
        <b/>
        <sz val="12"/>
        <color theme="0"/>
        <rFont val="Calibri"/>
        <family val="2"/>
        <scheme val="minor"/>
      </rPr>
      <t xml:space="preserve"> Residential Open Space Analysis (for Nerds)</t>
    </r>
  </si>
  <si>
    <t>O.S. Calculator</t>
  </si>
  <si>
    <t>Spreadsheet Link</t>
  </si>
  <si>
    <t>Small units have 500 SQFT or less</t>
  </si>
  <si>
    <t>Medium Units between 500 and 1,200 SQFT</t>
  </si>
  <si>
    <r>
      <rPr>
        <b/>
        <i/>
        <sz val="11"/>
        <color theme="1" tint="0.499984740745262"/>
        <rFont val="Calibri"/>
        <family val="2"/>
        <scheme val="minor"/>
      </rPr>
      <t>Note:</t>
    </r>
    <r>
      <rPr>
        <i/>
        <sz val="11"/>
        <color theme="1" tint="0.499984740745262"/>
        <rFont val="Calibri"/>
        <family val="2"/>
        <scheme val="minor"/>
      </rPr>
      <t xml:space="preserve"> This section should be left blank if there are no multi-family units. SQFT areas for each unit type are livable area. % O.S. requirements only apply to projects 5 acres or more.</t>
    </r>
  </si>
  <si>
    <t>Project Type</t>
  </si>
  <si>
    <t>SF</t>
  </si>
  <si>
    <t>MF</t>
  </si>
  <si>
    <t>SF &amp; MF</t>
  </si>
  <si>
    <t>Per_OS_MF</t>
  </si>
  <si>
    <r>
      <t>Units, ~</t>
    </r>
    <r>
      <rPr>
        <b/>
        <i/>
        <sz val="11"/>
        <color theme="2" tint="-0.499984740745262"/>
        <rFont val="Calibri"/>
        <family val="2"/>
        <scheme val="minor"/>
      </rPr>
      <t>Optional</t>
    </r>
    <r>
      <rPr>
        <i/>
        <sz val="11"/>
        <color theme="2" tint="-0.499984740745262"/>
        <rFont val="Calibri"/>
        <family val="2"/>
        <scheme val="minor"/>
      </rPr>
      <t>~ Input field is for analysis</t>
    </r>
  </si>
  <si>
    <r>
      <rPr>
        <b/>
        <sz val="12"/>
        <color theme="7"/>
        <rFont val="Wingdings"/>
        <charset val="2"/>
      </rPr>
      <t>p</t>
    </r>
    <r>
      <rPr>
        <b/>
        <sz val="12"/>
        <color theme="0"/>
        <rFont val="Calibri"/>
        <family val="2"/>
        <scheme val="minor"/>
      </rPr>
      <t xml:space="preserve"> Multi-family Open Space Matrix Calculations</t>
    </r>
  </si>
  <si>
    <t>This matrix calculates the density for a variety of project sizes, and is used in subsequent matrices and charts. Displayed values are confined per the note above, and represent more typical projects. Even those on the higher density range, are more likely to need more atypical project approaches such as podium, structured, shared, or alternative compliance for parking to "fit" within a project.</t>
  </si>
  <si>
    <t>The chart below shows the correlation of dwelling units to open space acreage. As # of units increase, so does open space. The Starting point of each line above zero, is based on project acreage. As lines "fall off", they become less realistic.</t>
  </si>
  <si>
    <t>This matrix is the relationship between density and acreage open space. The numbers include the SQFT of open space, per dwelling unit. Please note that these values include open space such as landscape buffers, screening, and left over spaces which may have limited or no value to residents. Consider what theses numbers actually mean for residents. For example, 200 sqft is really just 20 x 10, or the equivalent of one parking space. When divided by the number of residents in a unit, and considering that much of a projects open space is of functionally limited value, what does that mean for community gathering and activities.</t>
  </si>
  <si>
    <r>
      <rPr>
        <b/>
        <sz val="12"/>
        <color theme="7"/>
        <rFont val="Wingdings"/>
        <charset val="2"/>
      </rPr>
      <t>p</t>
    </r>
    <r>
      <rPr>
        <b/>
        <sz val="12"/>
        <color theme="0"/>
        <rFont val="Calibri"/>
        <family val="2"/>
        <scheme val="minor"/>
      </rPr>
      <t xml:space="preserve"> Comprehensive Plan Polices on Open Space</t>
    </r>
  </si>
  <si>
    <t>Policies</t>
  </si>
  <si>
    <t>Text</t>
  </si>
  <si>
    <t>2.02.00</t>
  </si>
  <si>
    <t>Plan for safe, attractive, and well-maintained neighborhoods that have ample open space, and generous amenities that provide varied lifestyle choices.</t>
  </si>
  <si>
    <t>2.02.01</t>
  </si>
  <si>
    <t>Elevate and enhance the quality and connectivity of residential site and subdivision planning.</t>
  </si>
  <si>
    <t>2.02.01A</t>
  </si>
  <si>
    <t xml:space="preserve">With new subdivision plats, require the design and construction of pathways connections, easy pedestrian and bicycle access to parks, safe routes to schools, and the incorporation of usable open space with quality amenities. </t>
  </si>
  <si>
    <t>2.02.01B</t>
  </si>
  <si>
    <t>Evaluate open space and amenity requirement and criteria for consistency with community needs and values.</t>
  </si>
  <si>
    <t>2.02.01E</t>
  </si>
  <si>
    <t>Encourage the development of high quality, dense residential and mixed use areas near in and around Downtown, near employment, large shopping centers, public open spaces and parks, and along major transportation corridors, as shown on the Future Land Use Map.</t>
  </si>
  <si>
    <t>2.02.01F</t>
  </si>
  <si>
    <t>Evaluate the potential to incentivize dedication of public school sites, public parks and other open spaces, and public access easements to linear open space corridors, which contain bicycle and/or pedestrian pathway systems.</t>
  </si>
  <si>
    <t>2.02.02B</t>
  </si>
  <si>
    <t>Consider incentives such as density bonuses, reduced open space requirements, and reduced fees for infill development in key areas near existing services.</t>
  </si>
  <si>
    <t>4.05.00</t>
  </si>
  <si>
    <t>Preserve, protect, enhance, and wisely use natural resources.</t>
  </si>
  <si>
    <t>4.05.01</t>
  </si>
  <si>
    <t>Protect and enhance existing waterways, groundwater, wetlands, wildlife habitat, air, soils, and other natural resources.</t>
  </si>
  <si>
    <t>4.05.01F</t>
  </si>
  <si>
    <t>Preserve, protect, and provide open space for recreation, conservation, and aesthetics.</t>
  </si>
  <si>
    <t>ID</t>
  </si>
  <si>
    <t>Vision Text</t>
  </si>
  <si>
    <t>As part of the City’s Vision, new neighborhoods should emphasize diverse open spaces and amenities, distinct, engaging places and identities, and Meridian’s strong historic character and charm (page 2-2).</t>
  </si>
  <si>
    <t>O.S. Policies</t>
  </si>
  <si>
    <t>The following text and policies relate to the consideration of open space as it relates to development review.</t>
  </si>
  <si>
    <t>For an O.S. calculator, and additional information, see the following links (or tabs) below:</t>
  </si>
  <si>
    <r>
      <rPr>
        <b/>
        <sz val="11"/>
        <color theme="1"/>
        <rFont val="Calibri"/>
        <family val="2"/>
        <scheme val="minor"/>
      </rPr>
      <t>Disclaimer:</t>
    </r>
    <r>
      <rPr>
        <sz val="11"/>
        <color theme="1"/>
        <rFont val="Calibri"/>
        <family val="2"/>
        <scheme val="minor"/>
      </rPr>
      <t xml:space="preserve"> this Excel file is a tool to assist with understanding O.S. requirements. It is not code, and the City does not guarrantee project acceptance based on this information. Other relevant information may impact baseline requirements such as specific development agreement provisions, alternative compliance applications, or other code allowances.</t>
    </r>
  </si>
  <si>
    <t>2. Development Characteristics (Multi-family projects only, See 1A.)</t>
  </si>
  <si>
    <t>Required Single-family O.S. by %</t>
  </si>
  <si>
    <r>
      <rPr>
        <b/>
        <sz val="11"/>
        <rFont val="Calibri"/>
        <family val="2"/>
        <scheme val="minor"/>
      </rPr>
      <t xml:space="preserve">1A. </t>
    </r>
    <r>
      <rPr>
        <sz val="11"/>
        <rFont val="Calibri"/>
        <family val="2"/>
        <scheme val="minor"/>
      </rPr>
      <t>Select Residential Project Type</t>
    </r>
  </si>
  <si>
    <r>
      <rPr>
        <b/>
        <sz val="11"/>
        <rFont val="Calibri"/>
        <family val="2"/>
        <scheme val="minor"/>
      </rPr>
      <t xml:space="preserve">1B. </t>
    </r>
    <r>
      <rPr>
        <sz val="11"/>
        <rFont val="Calibri"/>
        <family val="2"/>
        <scheme val="minor"/>
      </rPr>
      <t>Select Zoning, Single-Family</t>
    </r>
  </si>
  <si>
    <r>
      <rPr>
        <b/>
        <sz val="11"/>
        <rFont val="Calibri"/>
        <family val="2"/>
        <scheme val="minor"/>
      </rPr>
      <t xml:space="preserve">1C. </t>
    </r>
    <r>
      <rPr>
        <sz val="11"/>
        <rFont val="Calibri"/>
        <family val="2"/>
        <scheme val="minor"/>
      </rPr>
      <t>Enter Project Size, Single-family</t>
    </r>
  </si>
  <si>
    <r>
      <rPr>
        <b/>
        <sz val="11"/>
        <rFont val="Calibri"/>
        <family val="2"/>
        <scheme val="minor"/>
      </rPr>
      <t xml:space="preserve">1D. </t>
    </r>
    <r>
      <rPr>
        <sz val="11"/>
        <rFont val="Calibri"/>
        <family val="2"/>
        <scheme val="minor"/>
      </rPr>
      <t>Enter Project Size, Multi-family</t>
    </r>
  </si>
  <si>
    <r>
      <rPr>
        <b/>
        <sz val="11"/>
        <rFont val="Calibri"/>
        <family val="2"/>
        <scheme val="minor"/>
      </rPr>
      <t xml:space="preserve">1E. </t>
    </r>
    <r>
      <rPr>
        <sz val="11"/>
        <rFont val="Calibri"/>
        <family val="2"/>
        <scheme val="minor"/>
      </rPr>
      <t>Enter # of Single-family Units</t>
    </r>
  </si>
  <si>
    <r>
      <rPr>
        <b/>
        <sz val="11"/>
        <color theme="1"/>
        <rFont val="Calibri"/>
        <family val="2"/>
        <scheme val="minor"/>
      </rPr>
      <t xml:space="preserve">2A. </t>
    </r>
    <r>
      <rPr>
        <sz val="11"/>
        <color theme="1"/>
        <rFont val="Calibri"/>
        <family val="2"/>
        <scheme val="minor"/>
      </rPr>
      <t>Enter # of Small Units</t>
    </r>
  </si>
  <si>
    <r>
      <rPr>
        <b/>
        <sz val="11"/>
        <color theme="1"/>
        <rFont val="Calibri"/>
        <family val="2"/>
        <scheme val="minor"/>
      </rPr>
      <t>2B.</t>
    </r>
    <r>
      <rPr>
        <sz val="11"/>
        <color theme="1"/>
        <rFont val="Calibri"/>
        <family val="2"/>
        <scheme val="minor"/>
      </rPr>
      <t xml:space="preserve"> Enter # of Medium Units</t>
    </r>
  </si>
  <si>
    <r>
      <rPr>
        <b/>
        <sz val="11"/>
        <color theme="1"/>
        <rFont val="Calibri"/>
        <family val="2"/>
        <scheme val="minor"/>
      </rPr>
      <t xml:space="preserve">2C. </t>
    </r>
    <r>
      <rPr>
        <sz val="11"/>
        <color theme="1"/>
        <rFont val="Calibri"/>
        <family val="2"/>
        <scheme val="minor"/>
      </rPr>
      <t>Enter # of Large Units</t>
    </r>
  </si>
  <si>
    <t>■  Small Unit (Subtotal)</t>
  </si>
  <si>
    <t>■  Medium Unit (Subtotal)</t>
  </si>
  <si>
    <t>■  Large Unit (Subtotal)</t>
  </si>
  <si>
    <t>Total O.S. based on % project area, SF</t>
  </si>
  <si>
    <t>Total O.S. based on % project area, MF</t>
  </si>
  <si>
    <r>
      <rPr>
        <b/>
        <sz val="12"/>
        <color theme="7"/>
        <rFont val="Wingdings"/>
        <charset val="2"/>
      </rPr>
      <t>p</t>
    </r>
    <r>
      <rPr>
        <b/>
        <sz val="12"/>
        <color theme="0"/>
        <rFont val="Calibri"/>
        <family val="2"/>
        <scheme val="minor"/>
      </rPr>
      <t xml:space="preserve"> Variables and Lists</t>
    </r>
    <r>
      <rPr>
        <b/>
        <sz val="12"/>
        <color theme="0"/>
        <rFont val="Calibri"/>
        <family val="2"/>
        <charset val="2"/>
        <scheme val="minor"/>
      </rPr>
      <t xml:space="preserve"> (not for modification)</t>
    </r>
  </si>
  <si>
    <t>List for drop down</t>
  </si>
  <si>
    <t>List and Stored Values</t>
  </si>
  <si>
    <t>Variable Value</t>
  </si>
  <si>
    <t>MF OS required</t>
  </si>
  <si>
    <t>Persons per household</t>
  </si>
  <si>
    <t>not used currently</t>
  </si>
  <si>
    <r>
      <t xml:space="preserve">Information: </t>
    </r>
    <r>
      <rPr>
        <sz val="10"/>
        <color theme="1"/>
        <rFont val="Calibri"/>
        <family val="2"/>
        <scheme val="minor"/>
      </rPr>
      <t>these matrixes are to assist in visualizing conceptual multi-family projects with adotped open-space requirements. These matrices do not show density less than 8 or greater than 40 dwelling units per acre. Housing units are assumed "medium" sized</t>
    </r>
    <r>
      <rPr>
        <b/>
        <sz val="10"/>
        <color theme="1"/>
        <rFont val="Calibri"/>
        <family val="2"/>
        <scheme val="minor"/>
      </rPr>
      <t>.</t>
    </r>
  </si>
  <si>
    <t>The chart below shows a general relationship between project size and density. There is decreasing benefit of open space provided in relation to number of units or density. Adding more units may be feasible, but poor site design may leave the community lessened. Poor open space design and location may compound this.</t>
  </si>
  <si>
    <t>Actual, effective percent open space, including both % open space and per unit requirements. Keep in mind that parking requirements likely require those projects in the higher dedicated % areas, to already seek other innovations or alternative compliance.</t>
  </si>
  <si>
    <t>Website:</t>
  </si>
  <si>
    <t>https://meridiancity.org/planning/compplan/implementation</t>
  </si>
  <si>
    <t>https://meridiancity.org/planning/compplan/premier#housing</t>
  </si>
  <si>
    <t>■  Density, SF</t>
  </si>
  <si>
    <t>■  Density, MF</t>
  </si>
  <si>
    <t>Per Type Ratio Total</t>
  </si>
  <si>
    <t>■  # of Single-Family Units</t>
  </si>
  <si>
    <t>■  # of Multi-family Units</t>
  </si>
  <si>
    <t>■  # of Small Units</t>
  </si>
  <si>
    <t>■  # of Medium Units</t>
  </si>
  <si>
    <t>■  # of Large Units</t>
  </si>
  <si>
    <t>Average Open Space / Per Unit</t>
  </si>
  <si>
    <t>Total Open Space</t>
  </si>
  <si>
    <t>■  Average O.S. Per Unit</t>
  </si>
  <si>
    <t>Total # of Single-family Units</t>
  </si>
  <si>
    <t>4. Project Characteristics</t>
  </si>
  <si>
    <t>5. Open Space for Single-family</t>
  </si>
  <si>
    <t>6. Open Space (per unit) for Multi-family</t>
  </si>
  <si>
    <t>7. Overall Unit Summary</t>
  </si>
  <si>
    <t>8. Overall Open Space Analysis</t>
  </si>
  <si>
    <t>#1A must include SF</t>
  </si>
  <si>
    <t>#1A must include MF</t>
  </si>
  <si>
    <t>~Optional~ Subarea calc</t>
  </si>
  <si>
    <t xml:space="preserve"> ~Optional Subtractive calc~</t>
  </si>
  <si>
    <t>Current adopted Standards result in the following metrics:</t>
  </si>
  <si>
    <t>■  Min O.S. Per Unit</t>
  </si>
  <si>
    <t>■  Max O.S. Per Unit.</t>
  </si>
  <si>
    <r>
      <t xml:space="preserve">Instructions:
</t>
    </r>
    <r>
      <rPr>
        <sz val="11"/>
        <color theme="1"/>
        <rFont val="Calibri"/>
        <family val="2"/>
        <scheme val="minor"/>
      </rPr>
      <t>■  Enter all applicable information in the highlighted (</t>
    </r>
    <r>
      <rPr>
        <b/>
        <sz val="11"/>
        <color theme="5"/>
        <rFont val="Calibri"/>
        <family val="2"/>
        <scheme val="minor"/>
      </rPr>
      <t>orange patterned</t>
    </r>
    <r>
      <rPr>
        <sz val="11"/>
        <color theme="1"/>
        <rFont val="Calibri"/>
        <family val="2"/>
        <scheme val="minor"/>
      </rPr>
      <t>) cells below.
■  Values should match all other submitted project information (e.g. plans, narrative, etc.)</t>
    </r>
    <r>
      <rPr>
        <b/>
        <sz val="11"/>
        <color theme="1"/>
        <rFont val="Calibri"/>
        <family val="2"/>
        <scheme val="minor"/>
      </rPr>
      <t>.</t>
    </r>
  </si>
  <si>
    <t>SF Percent Total</t>
  </si>
  <si>
    <t>MF Percent Total</t>
  </si>
  <si>
    <r>
      <rPr>
        <b/>
        <i/>
        <sz val="11"/>
        <color theme="1" tint="0.499984740745262"/>
        <rFont val="Calibri"/>
        <family val="2"/>
        <scheme val="minor"/>
      </rPr>
      <t xml:space="preserve">Note: </t>
    </r>
    <r>
      <rPr>
        <i/>
        <sz val="11"/>
        <color theme="1" tint="0.499984740745262"/>
        <rFont val="Calibri"/>
        <family val="2"/>
        <scheme val="minor"/>
      </rPr>
      <t>project type is either single-family (SF), multi-family (MF), or both. Number of single-family is only used for open space analysis, and is not a metric that affects the minimum amount of required open space. Multi-family is not influenced by zoning for percent open space. % Based open space only applies to projects greater than or equal to 5 acres.</t>
    </r>
  </si>
  <si>
    <r>
      <t xml:space="preserve">Note: </t>
    </r>
    <r>
      <rPr>
        <sz val="10"/>
        <color theme="1"/>
        <rFont val="Calibri"/>
        <family val="2"/>
        <scheme val="minor"/>
      </rPr>
      <t xml:space="preserve">the above metrics are reflective of a very broad spread of projects. While diverse, this combination of both per unit and percent baed O.S. is narrower, and more commesurate and equitable with </t>
    </r>
    <r>
      <rPr>
        <u/>
        <sz val="10"/>
        <color theme="1"/>
        <rFont val="Calibri"/>
        <family val="2"/>
        <scheme val="minor"/>
      </rPr>
      <t>density</t>
    </r>
    <r>
      <rPr>
        <sz val="10"/>
        <color theme="1"/>
        <rFont val="Calibri"/>
        <family val="2"/>
        <scheme val="minor"/>
      </rPr>
      <t xml:space="preserve"> than a flat % based range, and more consistent for diverse project </t>
    </r>
    <r>
      <rPr>
        <u/>
        <sz val="10"/>
        <color theme="1"/>
        <rFont val="Calibri"/>
        <family val="2"/>
        <scheme val="minor"/>
      </rPr>
      <t>sizes</t>
    </r>
    <r>
      <rPr>
        <sz val="10"/>
        <color theme="1"/>
        <rFont val="Calibri"/>
        <family val="2"/>
        <scheme val="minor"/>
      </rPr>
      <t xml:space="preserve"> considering density, than just a per unit range.</t>
    </r>
  </si>
  <si>
    <t>Average Person Per Household MF</t>
  </si>
  <si>
    <t>ACS, 2019 1-year</t>
  </si>
  <si>
    <t>Average O.S. Per Person, SF, Overall</t>
  </si>
  <si>
    <t>Average O.S. Per Person, MF, Overall</t>
  </si>
  <si>
    <t>Average O.S. Per Person, SF, Qualified</t>
  </si>
  <si>
    <t>Average O.S. Per Person, MF, Qualified</t>
  </si>
  <si>
    <t>Average O.S. Per Person, SF, Usable</t>
  </si>
  <si>
    <t>Average O.S. Per Person, MF, Usable</t>
  </si>
  <si>
    <t>Grand Total Required Qualified O.S.</t>
  </si>
  <si>
    <t>Average Person Per Household SF</t>
  </si>
  <si>
    <t>■  Additional Provided O.S.</t>
  </si>
  <si>
    <t xml:space="preserve"> ~Optional Additive calc~</t>
  </si>
  <si>
    <r>
      <rPr>
        <b/>
        <sz val="12"/>
        <color theme="7"/>
        <rFont val="Wingdings"/>
        <charset val="2"/>
      </rPr>
      <t>p</t>
    </r>
    <r>
      <rPr>
        <b/>
        <sz val="12"/>
        <color theme="0"/>
        <rFont val="Calibri"/>
        <family val="2"/>
        <scheme val="minor"/>
      </rPr>
      <t xml:space="preserve"> Minimum Residential Open Space Calculator</t>
    </r>
  </si>
  <si>
    <t>Average O.S. Per 20 Units, Total</t>
  </si>
  <si>
    <t>Average O.S. Per 20 Units, Qualified</t>
  </si>
  <si>
    <t>Average O.S. Per 20 Units, Usable</t>
  </si>
  <si>
    <t>This spreadsheet provides open space analysis based on the inputs of the O.S. Calculator and those added below.</t>
  </si>
  <si>
    <t>■  Required Per Unit O.S.</t>
  </si>
  <si>
    <t>■  Required % Based Open Space</t>
  </si>
  <si>
    <t>■  Total, Non-qualified O.S.</t>
  </si>
  <si>
    <t>■  Total, Qualified O.S.</t>
  </si>
  <si>
    <t>Total Proposed Open Space</t>
  </si>
  <si>
    <t>■  Total Required O.S.</t>
  </si>
  <si>
    <t>■  Additional Provided Open Space</t>
  </si>
  <si>
    <t>■  Not Open Space</t>
  </si>
  <si>
    <t>Toal O.S. by % of Project</t>
  </si>
  <si>
    <t>Minimum Required O.S. Area</t>
  </si>
  <si>
    <t>Total, Not Open Space Area</t>
  </si>
  <si>
    <t>Total, Qualified O.S. Area</t>
  </si>
  <si>
    <r>
      <rPr>
        <b/>
        <sz val="11"/>
        <rFont val="Calibri"/>
        <family val="2"/>
        <scheme val="minor"/>
      </rPr>
      <t xml:space="preserve">4D. </t>
    </r>
    <r>
      <rPr>
        <sz val="11"/>
        <rFont val="Calibri"/>
        <family val="2"/>
        <scheme val="minor"/>
      </rPr>
      <t>Total, Usable O.S. Area</t>
    </r>
  </si>
  <si>
    <r>
      <rPr>
        <b/>
        <sz val="11"/>
        <rFont val="Calibri"/>
        <family val="2"/>
        <scheme val="minor"/>
      </rPr>
      <t xml:space="preserve">4C. </t>
    </r>
    <r>
      <rPr>
        <sz val="11"/>
        <rFont val="Calibri"/>
        <family val="2"/>
        <scheme val="minor"/>
      </rPr>
      <t>Total Non-qualified O.S. Area</t>
    </r>
  </si>
  <si>
    <r>
      <rPr>
        <b/>
        <sz val="11"/>
        <rFont val="Calibri"/>
        <family val="2"/>
        <scheme val="minor"/>
      </rPr>
      <t xml:space="preserve">4B. </t>
    </r>
    <r>
      <rPr>
        <sz val="11"/>
        <rFont val="Calibri"/>
        <family val="2"/>
        <scheme val="minor"/>
      </rPr>
      <t>Additional M.F. Provided O.S. Area</t>
    </r>
  </si>
  <si>
    <r>
      <rPr>
        <b/>
        <sz val="11"/>
        <rFont val="Calibri"/>
        <family val="2"/>
        <scheme val="minor"/>
      </rPr>
      <t xml:space="preserve">4A. </t>
    </r>
    <r>
      <rPr>
        <sz val="11"/>
        <rFont val="Calibri"/>
        <family val="2"/>
        <scheme val="minor"/>
      </rPr>
      <t>Additional S.F. Proposed O.S. Area</t>
    </r>
  </si>
  <si>
    <t>Project, Total Area</t>
  </si>
  <si>
    <t>Last Modified: 03/31/2022</t>
  </si>
  <si>
    <t>Minimum open space (O.S.) standards for new residential development are driven by requirements in the City's Unified Development Code (UDC). The framework for total required open space include project size, and in the case of multi-family developments, the number of units. For annexations, rezones, and conditional use permits, the Comprehensive Plan also has guiding text and policies.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</si>
</sst>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_);_(* \(#,##0.0\);_(* &quot;-&quot;??_);_(@_)"/>
    <numFmt numFmtId="165" formatCode="_(* #,##0_);_(* \(#,##0\);_(* &quot;-&quot;??_);_(@_)"/>
    <numFmt numFmtId="166" formatCode="0.0%"/>
    <numFmt numFmtId="167" formatCode="0.0"/>
  </numFmts>
  <fonts count="35">
    <font>
      <sz val="11"/>
      <color theme="1"/>
      <name val="Calibri"/>
      <family val="2"/>
      <scheme val="minor"/>
    </font>
    <font>
      <sz val="11"/>
      <color theme="1"/>
      <name val="Calibri"/>
      <family val="2"/>
      <scheme val="minor"/>
    </font>
    <font>
      <sz val="11"/>
      <color rgb="FF3F3F76"/>
      <name val="Calibri"/>
      <family val="2"/>
      <scheme val="minor"/>
    </font>
    <font>
      <b/>
      <sz val="11"/>
      <color theme="1"/>
      <name val="Calibri"/>
      <family val="2"/>
      <scheme val="minor"/>
    </font>
    <font>
      <b/>
      <sz val="16"/>
      <color theme="1"/>
      <name val="Calibri"/>
      <family val="2"/>
      <scheme val="minor"/>
    </font>
    <font>
      <sz val="11"/>
      <color rgb="FFFF0000"/>
      <name val="Calibri"/>
      <family val="2"/>
      <scheme val="minor"/>
    </font>
    <font>
      <b/>
      <sz val="11"/>
      <color rgb="FFFA7D00"/>
      <name val="Calibri"/>
      <family val="2"/>
      <scheme val="minor"/>
    </font>
    <font>
      <i/>
      <sz val="11"/>
      <color theme="1"/>
      <name val="Calibri"/>
      <family val="2"/>
      <scheme val="minor"/>
    </font>
    <font>
      <i/>
      <sz val="11"/>
      <color theme="1" tint="0.499984740745262"/>
      <name val="Calibri"/>
      <family val="2"/>
      <scheme val="minor"/>
    </font>
    <font>
      <b/>
      <sz val="11"/>
      <name val="Calibri"/>
      <family val="2"/>
      <scheme val="minor"/>
    </font>
    <font>
      <i/>
      <sz val="11"/>
      <color theme="2" tint="-0.499984740745262"/>
      <name val="Calibri"/>
      <family val="2"/>
      <scheme val="minor"/>
    </font>
    <font>
      <b/>
      <sz val="14"/>
      <color theme="0"/>
      <name val="Calibri"/>
      <family val="2"/>
      <scheme val="minor"/>
    </font>
    <font>
      <b/>
      <sz val="11"/>
      <color rgb="FFFF0000"/>
      <name val="Calibri"/>
      <family val="2"/>
      <scheme val="minor"/>
    </font>
    <font>
      <b/>
      <sz val="11"/>
      <color theme="0"/>
      <name val="Calibri"/>
      <family val="2"/>
      <scheme val="minor"/>
    </font>
    <font>
      <sz val="11"/>
      <color theme="0"/>
      <name val="Calibri"/>
      <family val="2"/>
      <scheme val="minor"/>
    </font>
    <font>
      <b/>
      <sz val="18"/>
      <color theme="0"/>
      <name val="Calibri"/>
      <family val="2"/>
      <scheme val="minor"/>
    </font>
    <font>
      <u/>
      <sz val="11"/>
      <color theme="10"/>
      <name val="Calibri"/>
      <family val="2"/>
      <scheme val="minor"/>
    </font>
    <font>
      <b/>
      <sz val="11"/>
      <color theme="5"/>
      <name val="Calibri"/>
      <family val="2"/>
      <scheme val="minor"/>
    </font>
    <font>
      <sz val="11"/>
      <color theme="1"/>
      <name val="Wingdings"/>
      <charset val="2"/>
    </font>
    <font>
      <b/>
      <sz val="12"/>
      <color theme="0"/>
      <name val="Calibri"/>
      <family val="2"/>
      <charset val="2"/>
      <scheme val="minor"/>
    </font>
    <font>
      <b/>
      <sz val="12"/>
      <color theme="7"/>
      <name val="Wingdings"/>
      <charset val="2"/>
    </font>
    <font>
      <b/>
      <sz val="12"/>
      <color theme="0"/>
      <name val="Calibri"/>
      <family val="2"/>
      <scheme val="minor"/>
    </font>
    <font>
      <b/>
      <i/>
      <sz val="11"/>
      <color theme="2" tint="-0.499984740745262"/>
      <name val="Calibri"/>
      <family val="2"/>
      <scheme val="minor"/>
    </font>
    <font>
      <sz val="11"/>
      <name val="Calibri"/>
      <family val="2"/>
      <scheme val="minor"/>
    </font>
    <font>
      <b/>
      <i/>
      <sz val="11"/>
      <color theme="1" tint="0.499984740745262"/>
      <name val="Calibri"/>
      <family val="2"/>
      <scheme val="minor"/>
    </font>
    <font>
      <b/>
      <sz val="11"/>
      <color rgb="FF002060"/>
      <name val="Calibri"/>
      <family val="2"/>
      <scheme val="minor"/>
    </font>
    <font>
      <sz val="9"/>
      <color theme="1"/>
      <name val="Calibri"/>
      <family val="2"/>
      <scheme val="minor"/>
    </font>
    <font>
      <sz val="8"/>
      <color theme="1"/>
      <name val="Calibri"/>
      <family val="2"/>
      <scheme val="minor"/>
    </font>
    <font>
      <b/>
      <sz val="11"/>
      <color theme="4" tint="-0.499984740745262"/>
      <name val="Calibri"/>
      <family val="2"/>
      <scheme val="minor"/>
    </font>
    <font>
      <sz val="10"/>
      <color theme="1"/>
      <name val="Calibri"/>
      <family val="2"/>
      <scheme val="minor"/>
    </font>
    <font>
      <b/>
      <sz val="10"/>
      <color theme="1"/>
      <name val="Calibri"/>
      <family val="2"/>
      <scheme val="minor"/>
    </font>
    <font>
      <b/>
      <sz val="10"/>
      <color rgb="FFFA7D00"/>
      <name val="Calibri"/>
      <family val="2"/>
      <scheme val="minor"/>
    </font>
    <font>
      <i/>
      <sz val="11"/>
      <color theme="9" tint="-0.249977111117893"/>
      <name val="Calibri"/>
      <family val="2"/>
      <scheme val="minor"/>
    </font>
    <font>
      <sz val="11"/>
      <color theme="1" tint="0.499984740745262"/>
      <name val="Calibri"/>
      <family val="2"/>
      <scheme val="minor"/>
    </font>
    <font>
      <u/>
      <sz val="10"/>
      <color theme="1"/>
      <name val="Calibri"/>
      <family val="2"/>
      <scheme val="minor"/>
    </font>
  </fonts>
  <fills count="11">
    <fill>
      <patternFill patternType="none"/>
    </fill>
    <fill>
      <patternFill patternType="gray125"/>
    </fill>
    <fill>
      <patternFill patternType="solid">
        <fgColor rgb="FFFFCC99"/>
      </patternFill>
    </fill>
    <fill>
      <patternFill patternType="solid">
        <fgColor rgb="FFFFFFCC"/>
      </patternFill>
    </fill>
    <fill>
      <patternFill patternType="solid">
        <fgColor rgb="FFF2F2F2"/>
      </patternFill>
    </fill>
    <fill>
      <patternFill patternType="solid">
        <fgColor theme="0" tint="-0.14999847407452621"/>
        <bgColor indexed="64"/>
      </patternFill>
    </fill>
    <fill>
      <patternFill patternType="solid">
        <fgColor theme="4" tint="-0.499984740745262"/>
        <bgColor indexed="64"/>
      </patternFill>
    </fill>
    <fill>
      <patternFill patternType="solid">
        <fgColor rgb="FFF2F2F2"/>
        <bgColor indexed="64"/>
      </patternFill>
    </fill>
    <fill>
      <patternFill patternType="solid">
        <fgColor theme="1" tint="0.499984740745262"/>
        <bgColor indexed="64"/>
      </patternFill>
    </fill>
    <fill>
      <patternFill patternType="lightUp">
        <fgColor theme="5"/>
        <bgColor theme="5" tint="0.39991454817346722"/>
      </patternFill>
    </fill>
    <fill>
      <patternFill patternType="lightUp">
        <fgColor theme="5"/>
        <bgColor theme="5" tint="0.39994506668294322"/>
      </patternFill>
    </fill>
  </fills>
  <borders count="19">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
      <left/>
      <right/>
      <top/>
      <bottom style="medium">
        <color rgb="FF002060"/>
      </bottom>
      <diagonal/>
    </border>
    <border>
      <left/>
      <right/>
      <top style="medium">
        <color rgb="FF002060"/>
      </top>
      <bottom/>
      <diagonal/>
    </border>
    <border>
      <left/>
      <right style="thin">
        <color rgb="FF7F7F7F"/>
      </right>
      <top/>
      <bottom/>
      <diagonal/>
    </border>
    <border>
      <left style="thin">
        <color theme="5" tint="-0.24994659260841701"/>
      </left>
      <right style="thin">
        <color theme="5" tint="-0.24994659260841701"/>
      </right>
      <top style="thin">
        <color theme="5" tint="-0.24994659260841701"/>
      </top>
      <bottom style="thin">
        <color theme="5" tint="-0.24994659260841701"/>
      </bottom>
      <diagonal/>
    </border>
    <border>
      <left style="thin">
        <color rgb="FF7F7F7F"/>
      </left>
      <right style="thin">
        <color rgb="FF7F7F7F"/>
      </right>
      <top style="thin">
        <color indexed="64"/>
      </top>
      <bottom style="thin">
        <color indexed="64"/>
      </bottom>
      <diagonal/>
    </border>
    <border>
      <left style="thin">
        <color rgb="FF7F7F7F"/>
      </left>
      <right style="thin">
        <color rgb="FF7F7F7F"/>
      </right>
      <top style="thin">
        <color rgb="FF7F7F7F"/>
      </top>
      <bottom/>
      <diagonal/>
    </border>
    <border>
      <left style="thin">
        <color theme="5" tint="-0.24994659260841701"/>
      </left>
      <right style="thin">
        <color theme="5" tint="-0.24994659260841701"/>
      </right>
      <top style="thin">
        <color theme="5" tint="-0.24994659260841701"/>
      </top>
      <bottom style="thin">
        <color indexed="64"/>
      </bottom>
      <diagonal/>
    </border>
    <border>
      <left style="thin">
        <color theme="5" tint="-0.24994659260841701"/>
      </left>
      <right style="thin">
        <color theme="5" tint="-0.24994659260841701"/>
      </right>
      <top/>
      <bottom style="thin">
        <color theme="5" tint="-0.24994659260841701"/>
      </bottom>
      <diagonal/>
    </border>
    <border>
      <left/>
      <right/>
      <top/>
      <bottom style="medium">
        <color theme="3" tint="-0.499984740745262"/>
      </bottom>
      <diagonal/>
    </border>
    <border>
      <left style="thin">
        <color rgb="FF7F7F7F"/>
      </left>
      <right style="thin">
        <color rgb="FF7F7F7F"/>
      </right>
      <top style="thin">
        <color rgb="FF7F7F7F"/>
      </top>
      <bottom style="thin">
        <color indexed="64"/>
      </bottom>
      <diagonal/>
    </border>
    <border>
      <left style="thin">
        <color rgb="FFB2B2B2"/>
      </left>
      <right style="thin">
        <color rgb="FFB2B2B2"/>
      </right>
      <top/>
      <bottom style="thin">
        <color rgb="FFB2B2B2"/>
      </bottom>
      <diagonal/>
    </border>
    <border>
      <left style="thin">
        <color rgb="FF7F7F7F"/>
      </left>
      <right style="thin">
        <color rgb="FF7F7F7F"/>
      </right>
      <top/>
      <bottom style="thin">
        <color indexed="64"/>
      </bottom>
      <diagonal/>
    </border>
    <border>
      <left style="thin">
        <color rgb="FF7F7F7F"/>
      </left>
      <right/>
      <top/>
      <bottom/>
      <diagonal/>
    </border>
    <border>
      <left/>
      <right style="thin">
        <color rgb="FF7F7F7F"/>
      </right>
      <top style="thin">
        <color rgb="FF7F7F7F"/>
      </top>
      <bottom style="thin">
        <color indexed="64"/>
      </bottom>
      <diagonal/>
    </border>
    <border>
      <left/>
      <right/>
      <top style="thin">
        <color rgb="FF7F7F7F"/>
      </top>
      <bottom style="thin">
        <color indexed="64"/>
      </bottom>
      <diagonal/>
    </border>
  </borders>
  <cellStyleXfs count="7">
    <xf numFmtId="0" fontId="0" fillId="0" borderId="0"/>
    <xf numFmtId="43" fontId="1" fillId="0" borderId="0" applyFont="0" applyFill="0" applyBorder="0" applyAlignment="0" applyProtection="0"/>
    <xf numFmtId="0" fontId="2" fillId="2" borderId="1" applyNumberFormat="0" applyAlignment="0" applyProtection="0"/>
    <xf numFmtId="0" fontId="1" fillId="3" borderId="2" applyNumberFormat="0" applyFont="0" applyAlignment="0" applyProtection="0"/>
    <xf numFmtId="9" fontId="1" fillId="0" borderId="0" applyFont="0" applyFill="0" applyBorder="0" applyAlignment="0" applyProtection="0"/>
    <xf numFmtId="0" fontId="6" fillId="4" borderId="1" applyNumberFormat="0" applyAlignment="0" applyProtection="0"/>
    <xf numFmtId="0" fontId="16" fillId="0" borderId="0" applyNumberFormat="0" applyFill="0" applyBorder="0" applyAlignment="0" applyProtection="0"/>
  </cellStyleXfs>
  <cellXfs count="150">
    <xf numFmtId="0" fontId="0" fillId="0" borderId="0" xfId="0"/>
    <xf numFmtId="0" fontId="0" fillId="0" borderId="0" xfId="0" applyAlignment="1">
      <alignment vertical="center"/>
    </xf>
    <xf numFmtId="0" fontId="0" fillId="0" borderId="0" xfId="0" applyAlignment="1">
      <alignment horizontal="left" vertical="center" indent="1"/>
    </xf>
    <xf numFmtId="0" fontId="0" fillId="3" borderId="2" xfId="3" applyFont="1"/>
    <xf numFmtId="0" fontId="4" fillId="0" borderId="0" xfId="0" applyFont="1"/>
    <xf numFmtId="0" fontId="3" fillId="0" borderId="0" xfId="0" applyFont="1"/>
    <xf numFmtId="0" fontId="0" fillId="0" borderId="3" xfId="0" applyBorder="1" applyAlignment="1">
      <alignment horizontal="center" vertical="center"/>
    </xf>
    <xf numFmtId="0" fontId="0" fillId="0" borderId="3" xfId="0" applyBorder="1" applyAlignment="1">
      <alignment vertical="center"/>
    </xf>
    <xf numFmtId="0" fontId="0" fillId="0" borderId="0" xfId="0" applyAlignment="1">
      <alignment horizontal="left" indent="1"/>
    </xf>
    <xf numFmtId="0" fontId="0" fillId="0" borderId="3" xfId="0" applyBorder="1" applyAlignment="1">
      <alignment horizontal="center" vertical="center" wrapText="1"/>
    </xf>
    <xf numFmtId="0" fontId="0" fillId="0" borderId="0" xfId="0" applyAlignment="1">
      <alignment horizontal="right"/>
    </xf>
    <xf numFmtId="2" fontId="0" fillId="0" borderId="0" xfId="0" applyNumberFormat="1"/>
    <xf numFmtId="0" fontId="0" fillId="0" borderId="0" xfId="0" applyFill="1" applyBorder="1" applyAlignment="1">
      <alignment horizontal="left" indent="1"/>
    </xf>
    <xf numFmtId="0" fontId="0" fillId="0" borderId="0" xfId="0" applyAlignment="1">
      <alignment vertical="top" wrapText="1"/>
    </xf>
    <xf numFmtId="0" fontId="5" fillId="0" borderId="0" xfId="0" applyFont="1"/>
    <xf numFmtId="165" fontId="6" fillId="4" borderId="1" xfId="5" applyNumberFormat="1" applyAlignment="1">
      <alignment vertical="center"/>
    </xf>
    <xf numFmtId="0" fontId="12" fillId="0" borderId="0" xfId="0" applyFont="1"/>
    <xf numFmtId="0" fontId="11" fillId="6" borderId="0" xfId="0" applyFont="1" applyFill="1" applyBorder="1" applyAlignment="1">
      <alignment horizontal="left" indent="1"/>
    </xf>
    <xf numFmtId="0" fontId="15" fillId="6" borderId="4" xfId="0" applyFont="1" applyFill="1" applyBorder="1" applyAlignment="1">
      <alignment horizontal="left" vertical="center" indent="1"/>
    </xf>
    <xf numFmtId="0" fontId="16" fillId="0" borderId="0" xfId="6"/>
    <xf numFmtId="0" fontId="0" fillId="0" borderId="3" xfId="0" applyBorder="1" applyAlignment="1">
      <alignment horizontal="left" vertical="center" indent="1"/>
    </xf>
    <xf numFmtId="0" fontId="18" fillId="0" borderId="0" xfId="0" applyFont="1"/>
    <xf numFmtId="0" fontId="19" fillId="6" borderId="0" xfId="0" applyFont="1" applyFill="1" applyBorder="1" applyAlignment="1">
      <alignment horizontal="left" vertical="center" indent="1"/>
    </xf>
    <xf numFmtId="0" fontId="10" fillId="0" borderId="0" xfId="0" applyFont="1" applyAlignment="1">
      <alignment horizontal="left" vertical="center"/>
    </xf>
    <xf numFmtId="0" fontId="10" fillId="0" borderId="0" xfId="0" applyFont="1" applyAlignment="1">
      <alignment horizontal="left" vertical="center" indent="1"/>
    </xf>
    <xf numFmtId="0" fontId="23" fillId="0" borderId="0" xfId="0" applyFont="1" applyAlignment="1">
      <alignment horizontal="left" vertical="center" indent="1"/>
    </xf>
    <xf numFmtId="0" fontId="3" fillId="0" borderId="3" xfId="0" applyFont="1" applyBorder="1" applyAlignment="1">
      <alignment horizontal="left" vertical="center" indent="1"/>
    </xf>
    <xf numFmtId="0" fontId="0" fillId="0" borderId="0" xfId="0" applyAlignment="1">
      <alignment wrapText="1"/>
    </xf>
    <xf numFmtId="0" fontId="23" fillId="0" borderId="0" xfId="0" applyFont="1" applyAlignment="1">
      <alignment horizontal="left" vertical="center" wrapText="1" indent="1"/>
    </xf>
    <xf numFmtId="0" fontId="21" fillId="6" borderId="0" xfId="0" applyFont="1" applyFill="1" applyBorder="1" applyAlignment="1">
      <alignment horizontal="left" indent="1"/>
    </xf>
    <xf numFmtId="0" fontId="0" fillId="0" borderId="6" xfId="0" applyBorder="1" applyAlignment="1">
      <alignment horizontal="left" vertical="center" indent="1"/>
    </xf>
    <xf numFmtId="0" fontId="0" fillId="0" borderId="0" xfId="0" applyBorder="1" applyAlignment="1">
      <alignment horizontal="left" vertical="center" indent="1"/>
    </xf>
    <xf numFmtId="0" fontId="3" fillId="0" borderId="0" xfId="0" applyFont="1" applyBorder="1" applyAlignment="1">
      <alignment horizontal="left" vertical="center" indent="1"/>
    </xf>
    <xf numFmtId="0" fontId="13" fillId="8" borderId="0" xfId="0" applyFont="1" applyFill="1" applyBorder="1" applyAlignment="1">
      <alignment horizontal="left" vertical="center" wrapText="1" indent="1"/>
    </xf>
    <xf numFmtId="165" fontId="6" fillId="0" borderId="0" xfId="5" applyNumberFormat="1" applyFill="1" applyBorder="1" applyAlignment="1">
      <alignment vertical="center"/>
    </xf>
    <xf numFmtId="0" fontId="7" fillId="0" borderId="6" xfId="0" applyFont="1" applyBorder="1" applyAlignment="1">
      <alignment horizontal="left" vertical="center" indent="2"/>
    </xf>
    <xf numFmtId="0" fontId="3" fillId="0" borderId="3" xfId="0" applyFont="1" applyBorder="1" applyAlignment="1">
      <alignment horizontal="center" vertical="center"/>
    </xf>
    <xf numFmtId="165" fontId="6" fillId="4" borderId="1" xfId="1" applyNumberFormat="1" applyFont="1" applyFill="1" applyBorder="1" applyAlignment="1">
      <alignment horizontal="left" vertical="center" indent="1"/>
    </xf>
    <xf numFmtId="0" fontId="3" fillId="0" borderId="3" xfId="0" applyFont="1" applyBorder="1" applyAlignment="1">
      <alignment horizontal="center" vertical="center" wrapText="1"/>
    </xf>
    <xf numFmtId="43" fontId="6" fillId="4" borderId="1" xfId="1" applyNumberFormat="1" applyFont="1" applyFill="1" applyBorder="1" applyAlignment="1">
      <alignment horizontal="center" vertical="center"/>
    </xf>
    <xf numFmtId="165" fontId="6" fillId="4" borderId="1" xfId="1" applyNumberFormat="1" applyFont="1" applyFill="1" applyBorder="1" applyAlignment="1">
      <alignment horizontal="center" vertical="center"/>
    </xf>
    <xf numFmtId="43" fontId="6" fillId="4" borderId="1" xfId="5" applyNumberFormat="1" applyAlignment="1">
      <alignment horizontal="center" vertical="center"/>
    </xf>
    <xf numFmtId="165" fontId="6" fillId="4" borderId="1" xfId="5" applyNumberFormat="1" applyAlignment="1">
      <alignment horizontal="center" vertical="center"/>
    </xf>
    <xf numFmtId="0" fontId="9" fillId="5" borderId="0" xfId="0" applyFont="1" applyFill="1" applyAlignment="1">
      <alignment horizontal="center" vertical="center"/>
    </xf>
    <xf numFmtId="167" fontId="26" fillId="0" borderId="0" xfId="0" applyNumberFormat="1" applyFont="1" applyAlignment="1">
      <alignment vertical="center"/>
    </xf>
    <xf numFmtId="164" fontId="26" fillId="0" borderId="0" xfId="1" applyNumberFormat="1" applyFont="1"/>
    <xf numFmtId="165" fontId="26" fillId="0" borderId="0" xfId="1" applyNumberFormat="1" applyFont="1" applyAlignment="1">
      <alignment vertical="center"/>
    </xf>
    <xf numFmtId="0" fontId="0" fillId="0" borderId="0" xfId="0" applyAlignment="1">
      <alignment horizontal="right" indent="1"/>
    </xf>
    <xf numFmtId="166" fontId="27" fillId="0" borderId="0" xfId="4" applyNumberFormat="1" applyFont="1" applyAlignment="1">
      <alignment vertical="center"/>
    </xf>
    <xf numFmtId="0" fontId="0" fillId="0" borderId="0" xfId="0" applyBorder="1" applyAlignment="1">
      <alignment horizontal="left" vertical="center"/>
    </xf>
    <xf numFmtId="0" fontId="0" fillId="5" borderId="0" xfId="0" applyFill="1" applyAlignment="1">
      <alignment horizontal="left" indent="1"/>
    </xf>
    <xf numFmtId="0" fontId="0" fillId="0" borderId="0" xfId="0" applyAlignment="1">
      <alignment vertical="center" wrapText="1"/>
    </xf>
    <xf numFmtId="0" fontId="0" fillId="0" borderId="0" xfId="0" applyAlignment="1">
      <alignment horizontal="left" vertical="center"/>
    </xf>
    <xf numFmtId="0" fontId="30" fillId="0" borderId="0" xfId="0" applyFont="1" applyAlignment="1">
      <alignment horizontal="left" vertical="center" wrapText="1" indent="1"/>
    </xf>
    <xf numFmtId="165" fontId="31" fillId="4" borderId="1" xfId="5" applyNumberFormat="1" applyFont="1" applyAlignment="1">
      <alignment vertical="center"/>
    </xf>
    <xf numFmtId="2" fontId="6" fillId="4" borderId="1" xfId="5" applyNumberFormat="1" applyAlignment="1">
      <alignment horizontal="right" vertical="center" indent="1"/>
    </xf>
    <xf numFmtId="1" fontId="6" fillId="4" borderId="1" xfId="5" applyNumberFormat="1" applyAlignment="1">
      <alignment horizontal="right" vertical="center" indent="1"/>
    </xf>
    <xf numFmtId="0" fontId="0" fillId="0" borderId="0" xfId="0" applyAlignment="1">
      <alignment horizontal="center" vertical="center"/>
    </xf>
    <xf numFmtId="0" fontId="0" fillId="0" borderId="0" xfId="0" applyAlignment="1">
      <alignment horizontal="left" vertical="center" wrapText="1"/>
    </xf>
    <xf numFmtId="0" fontId="19" fillId="6" borderId="0" xfId="0" applyFont="1" applyFill="1" applyBorder="1" applyAlignment="1">
      <alignment horizontal="left" vertical="center" indent="1"/>
    </xf>
    <xf numFmtId="0" fontId="19" fillId="6" borderId="12" xfId="0" applyFont="1" applyFill="1" applyBorder="1" applyAlignment="1">
      <alignment horizontal="left" vertical="center" indent="1"/>
    </xf>
    <xf numFmtId="0" fontId="11" fillId="6" borderId="12" xfId="0" applyFont="1" applyFill="1" applyBorder="1" applyAlignment="1">
      <alignment horizontal="left" indent="1"/>
    </xf>
    <xf numFmtId="0" fontId="0" fillId="0" borderId="0" xfId="0" applyAlignment="1">
      <alignment horizontal="left" vertical="center" wrapText="1" indent="1"/>
    </xf>
    <xf numFmtId="49" fontId="0" fillId="0" borderId="0" xfId="0" applyNumberFormat="1"/>
    <xf numFmtId="0" fontId="0" fillId="0" borderId="0" xfId="0" applyAlignment="1"/>
    <xf numFmtId="0" fontId="16" fillId="0" borderId="0" xfId="6" applyFont="1"/>
    <xf numFmtId="0" fontId="13" fillId="8" borderId="0" xfId="0" applyFont="1" applyFill="1" applyBorder="1" applyAlignment="1">
      <alignment horizontal="left" vertical="center"/>
    </xf>
    <xf numFmtId="165" fontId="6" fillId="4" borderId="13" xfId="5" applyNumberFormat="1" applyBorder="1" applyAlignment="1">
      <alignment vertical="center"/>
    </xf>
    <xf numFmtId="43" fontId="6" fillId="4" borderId="13" xfId="5" applyNumberFormat="1" applyBorder="1" applyAlignment="1">
      <alignment horizontal="left" vertical="center" indent="1"/>
    </xf>
    <xf numFmtId="2" fontId="0" fillId="0" borderId="0" xfId="0" applyNumberFormat="1" applyAlignment="1">
      <alignment horizontal="center"/>
    </xf>
    <xf numFmtId="1" fontId="0" fillId="0" borderId="0" xfId="0" applyNumberFormat="1" applyAlignment="1">
      <alignment horizontal="center"/>
    </xf>
    <xf numFmtId="0" fontId="28" fillId="10" borderId="11" xfId="2" applyFont="1" applyFill="1" applyBorder="1" applyAlignment="1" applyProtection="1">
      <alignment horizontal="right" vertical="center" indent="1"/>
      <protection locked="0"/>
    </xf>
    <xf numFmtId="2" fontId="28" fillId="10" borderId="7" xfId="2" applyNumberFormat="1" applyFont="1" applyFill="1" applyBorder="1" applyAlignment="1" applyProtection="1">
      <alignment horizontal="right" vertical="center" indent="1"/>
      <protection locked="0"/>
    </xf>
    <xf numFmtId="2" fontId="25" fillId="9" borderId="7" xfId="2" applyNumberFormat="1" applyFont="1" applyFill="1" applyBorder="1" applyAlignment="1" applyProtection="1">
      <alignment horizontal="right" vertical="center" indent="1"/>
      <protection locked="0"/>
    </xf>
    <xf numFmtId="1" fontId="25" fillId="9" borderId="7" xfId="2" applyNumberFormat="1" applyFont="1" applyFill="1" applyBorder="1" applyAlignment="1" applyProtection="1">
      <alignment horizontal="right" vertical="center" indent="1"/>
      <protection locked="0"/>
    </xf>
    <xf numFmtId="1" fontId="25" fillId="9" borderId="10" xfId="2" applyNumberFormat="1" applyFont="1" applyFill="1" applyBorder="1" applyAlignment="1" applyProtection="1">
      <alignment horizontal="right" vertical="center" indent="1"/>
      <protection locked="0"/>
    </xf>
    <xf numFmtId="0" fontId="19" fillId="6" borderId="12" xfId="0" applyFont="1" applyFill="1" applyBorder="1" applyAlignment="1">
      <alignment horizontal="right" vertical="center" indent="2"/>
    </xf>
    <xf numFmtId="0" fontId="0" fillId="3" borderId="2" xfId="3" applyFont="1" applyAlignment="1">
      <alignment horizontal="right" indent="1"/>
    </xf>
    <xf numFmtId="0" fontId="2" fillId="3" borderId="2" xfId="3" applyFont="1" applyAlignment="1">
      <alignment horizontal="right" indent="1"/>
    </xf>
    <xf numFmtId="166" fontId="2" fillId="3" borderId="2" xfId="3" applyNumberFormat="1" applyFont="1" applyAlignment="1">
      <alignment horizontal="right" indent="1"/>
    </xf>
    <xf numFmtId="0" fontId="0" fillId="0" borderId="0" xfId="0" applyAlignment="1">
      <alignment horizontal="left" indent="2"/>
    </xf>
    <xf numFmtId="0" fontId="0" fillId="3" borderId="14" xfId="3" applyFont="1" applyBorder="1"/>
    <xf numFmtId="0" fontId="0" fillId="3" borderId="14" xfId="3" applyFont="1" applyBorder="1" applyAlignment="1">
      <alignment horizontal="right" indent="1"/>
    </xf>
    <xf numFmtId="0" fontId="3" fillId="0" borderId="3" xfId="0" applyFont="1" applyBorder="1"/>
    <xf numFmtId="0" fontId="3" fillId="0" borderId="3" xfId="0" applyFont="1" applyBorder="1" applyAlignment="1">
      <alignment horizontal="right" indent="1"/>
    </xf>
    <xf numFmtId="0" fontId="3" fillId="0" borderId="3" xfId="0" applyFont="1" applyBorder="1" applyAlignment="1">
      <alignment horizontal="left" indent="1"/>
    </xf>
    <xf numFmtId="0" fontId="2" fillId="3" borderId="14" xfId="3" applyFont="1" applyBorder="1" applyAlignment="1">
      <alignment horizontal="right" indent="1"/>
    </xf>
    <xf numFmtId="166" fontId="2" fillId="3" borderId="14" xfId="3" applyNumberFormat="1" applyFont="1" applyBorder="1" applyAlignment="1">
      <alignment horizontal="right" indent="1"/>
    </xf>
    <xf numFmtId="0" fontId="8" fillId="0" borderId="0" xfId="0" applyFont="1" applyAlignment="1">
      <alignment horizontal="left" indent="1"/>
    </xf>
    <xf numFmtId="0" fontId="33" fillId="0" borderId="0" xfId="0" applyFont="1" applyAlignment="1">
      <alignment horizontal="left" indent="1"/>
    </xf>
    <xf numFmtId="165" fontId="0" fillId="3" borderId="2" xfId="1" applyNumberFormat="1" applyFont="1" applyFill="1" applyBorder="1" applyAlignment="1">
      <alignment horizontal="right" indent="1"/>
    </xf>
    <xf numFmtId="0" fontId="16" fillId="0" borderId="0" xfId="6" applyBorder="1" applyAlignment="1">
      <alignment horizontal="left" vertical="center" wrapText="1" indent="1"/>
    </xf>
    <xf numFmtId="0" fontId="17" fillId="0" borderId="0" xfId="0" applyFont="1" applyBorder="1" applyAlignment="1">
      <alignment horizontal="left" vertical="center" indent="1"/>
    </xf>
    <xf numFmtId="165" fontId="25" fillId="9" borderId="7" xfId="1" applyNumberFormat="1" applyFont="1" applyFill="1" applyBorder="1" applyAlignment="1" applyProtection="1">
      <alignment horizontal="right" vertical="center" indent="1"/>
      <protection locked="0"/>
    </xf>
    <xf numFmtId="165" fontId="32" fillId="4" borderId="1" xfId="5" applyNumberFormat="1" applyFont="1" applyAlignment="1">
      <alignment horizontal="center" vertical="center"/>
    </xf>
    <xf numFmtId="43" fontId="32" fillId="4" borderId="1" xfId="5" applyNumberFormat="1" applyFont="1" applyAlignment="1">
      <alignment horizontal="center" vertical="center"/>
    </xf>
    <xf numFmtId="43" fontId="32" fillId="4" borderId="13" xfId="5" applyNumberFormat="1" applyFont="1" applyBorder="1" applyAlignment="1">
      <alignment horizontal="center" vertical="center"/>
    </xf>
    <xf numFmtId="0" fontId="23" fillId="0" borderId="0" xfId="0" applyFont="1" applyBorder="1" applyAlignment="1">
      <alignment horizontal="left" vertical="center" indent="1"/>
    </xf>
    <xf numFmtId="0" fontId="10" fillId="0" borderId="0" xfId="0" applyFont="1" applyBorder="1" applyAlignment="1">
      <alignment horizontal="left" vertical="center" indent="1"/>
    </xf>
    <xf numFmtId="165" fontId="32" fillId="4" borderId="1" xfId="5" applyNumberFormat="1" applyFont="1" applyAlignment="1">
      <alignment horizontal="left" vertical="center" indent="1"/>
    </xf>
    <xf numFmtId="166" fontId="32" fillId="4" borderId="1" xfId="4" applyNumberFormat="1" applyFont="1" applyFill="1" applyBorder="1" applyAlignment="1">
      <alignment horizontal="right" vertical="center" indent="1"/>
    </xf>
    <xf numFmtId="1" fontId="32" fillId="4" borderId="1" xfId="5" applyNumberFormat="1" applyFont="1" applyAlignment="1">
      <alignment horizontal="right" vertical="center" indent="1"/>
    </xf>
    <xf numFmtId="165" fontId="32" fillId="4" borderId="1" xfId="1" applyNumberFormat="1" applyFont="1" applyFill="1" applyBorder="1" applyAlignment="1">
      <alignment horizontal="left" vertical="center" indent="1"/>
    </xf>
    <xf numFmtId="166" fontId="6" fillId="4" borderId="1" xfId="5" applyNumberFormat="1" applyAlignment="1">
      <alignment horizontal="right" vertical="center" indent="1"/>
    </xf>
    <xf numFmtId="166" fontId="32" fillId="4" borderId="1" xfId="5" applyNumberFormat="1" applyFont="1" applyAlignment="1">
      <alignment horizontal="right" vertical="center" indent="1"/>
    </xf>
    <xf numFmtId="39" fontId="6" fillId="4" borderId="1" xfId="5" applyNumberFormat="1" applyAlignment="1">
      <alignment vertical="center"/>
    </xf>
    <xf numFmtId="39" fontId="6" fillId="4" borderId="8" xfId="5" applyNumberFormat="1" applyBorder="1" applyAlignment="1">
      <alignment vertical="center"/>
    </xf>
    <xf numFmtId="39" fontId="32" fillId="4" borderId="1" xfId="5" applyNumberFormat="1" applyFont="1" applyAlignment="1">
      <alignment vertical="center"/>
    </xf>
    <xf numFmtId="39" fontId="32" fillId="4" borderId="13" xfId="5" applyNumberFormat="1" applyFont="1" applyBorder="1" applyAlignment="1">
      <alignment vertical="center"/>
    </xf>
    <xf numFmtId="37" fontId="6" fillId="4" borderId="1" xfId="5" applyNumberFormat="1" applyAlignment="1">
      <alignment vertical="center"/>
    </xf>
    <xf numFmtId="37" fontId="32" fillId="4" borderId="1" xfId="5" applyNumberFormat="1" applyFont="1" applyAlignment="1">
      <alignment vertical="center"/>
    </xf>
    <xf numFmtId="37" fontId="32" fillId="4" borderId="9" xfId="5" applyNumberFormat="1" applyFont="1" applyBorder="1" applyAlignment="1">
      <alignment vertical="center"/>
    </xf>
    <xf numFmtId="37" fontId="6" fillId="7" borderId="8" xfId="0" applyNumberFormat="1" applyFont="1" applyFill="1" applyBorder="1" applyAlignment="1">
      <alignment vertical="center"/>
    </xf>
    <xf numFmtId="37" fontId="6" fillId="4" borderId="1" xfId="1" applyNumberFormat="1" applyFont="1" applyFill="1" applyBorder="1" applyAlignment="1">
      <alignment vertical="center"/>
    </xf>
    <xf numFmtId="0" fontId="13" fillId="8" borderId="0" xfId="0" applyFont="1" applyFill="1" applyBorder="1" applyAlignment="1">
      <alignment vertical="center" wrapText="1"/>
    </xf>
    <xf numFmtId="0" fontId="13" fillId="8" borderId="0" xfId="0" applyFont="1" applyFill="1" applyBorder="1" applyAlignment="1">
      <alignment horizontal="left" vertical="center" indent="1"/>
    </xf>
    <xf numFmtId="0" fontId="19" fillId="6" borderId="12" xfId="0" applyFont="1" applyFill="1" applyBorder="1" applyAlignment="1">
      <alignment horizontal="right" vertical="center" wrapText="1" indent="1"/>
    </xf>
    <xf numFmtId="9" fontId="6" fillId="4" borderId="13" xfId="5" applyNumberFormat="1" applyBorder="1" applyAlignment="1">
      <alignment horizontal="right" vertical="center" indent="1"/>
    </xf>
    <xf numFmtId="0" fontId="8" fillId="0" borderId="0" xfId="0" applyFont="1"/>
    <xf numFmtId="0" fontId="10" fillId="0" borderId="0" xfId="0" applyNumberFormat="1" applyFont="1" applyAlignment="1">
      <alignment horizontal="left" vertical="center" indent="1"/>
    </xf>
    <xf numFmtId="0" fontId="10" fillId="0" borderId="0" xfId="0" applyNumberFormat="1" applyFont="1" applyBorder="1" applyAlignment="1">
      <alignment horizontal="left" vertical="center" indent="1"/>
    </xf>
    <xf numFmtId="0" fontId="23" fillId="0" borderId="0" xfId="0" applyFont="1" applyFill="1" applyAlignment="1">
      <alignment horizontal="left" vertical="center" indent="1"/>
    </xf>
    <xf numFmtId="0" fontId="10" fillId="0" borderId="0" xfId="0" applyFont="1" applyFill="1" applyAlignment="1">
      <alignment horizontal="left" vertical="center" indent="1"/>
    </xf>
    <xf numFmtId="0" fontId="0" fillId="0" borderId="0" xfId="0" applyFill="1"/>
    <xf numFmtId="2" fontId="6" fillId="4" borderId="9" xfId="5" applyNumberFormat="1" applyBorder="1" applyAlignment="1">
      <alignment horizontal="right" vertical="center" indent="1"/>
    </xf>
    <xf numFmtId="0" fontId="0" fillId="0" borderId="0" xfId="0" applyBorder="1"/>
    <xf numFmtId="43" fontId="6" fillId="4" borderId="13" xfId="1" applyFont="1" applyFill="1" applyBorder="1" applyAlignment="1">
      <alignment horizontal="right" vertical="center" indent="1"/>
    </xf>
    <xf numFmtId="37" fontId="6" fillId="4" borderId="15" xfId="1" applyNumberFormat="1" applyFont="1" applyFill="1" applyBorder="1" applyAlignment="1">
      <alignment vertical="center"/>
    </xf>
    <xf numFmtId="0" fontId="7" fillId="0" borderId="0" xfId="0" applyFont="1" applyAlignment="1">
      <alignment vertical="center"/>
    </xf>
    <xf numFmtId="0" fontId="0" fillId="0" borderId="0" xfId="0" applyFont="1" applyBorder="1" applyAlignment="1">
      <alignment horizontal="left" vertical="center" indent="1"/>
    </xf>
    <xf numFmtId="0" fontId="3" fillId="0" borderId="16" xfId="0" applyFont="1" applyBorder="1" applyAlignment="1">
      <alignment horizontal="left" vertical="center" indent="1"/>
    </xf>
    <xf numFmtId="0" fontId="9" fillId="0" borderId="0" xfId="0" applyFont="1" applyAlignment="1">
      <alignment horizontal="left" vertical="center" indent="1"/>
    </xf>
    <xf numFmtId="166" fontId="0" fillId="0" borderId="0" xfId="0" applyNumberFormat="1"/>
    <xf numFmtId="166" fontId="6" fillId="4" borderId="9" xfId="5" applyNumberFormat="1" applyBorder="1" applyAlignment="1">
      <alignment horizontal="right" vertical="center" indent="1"/>
    </xf>
    <xf numFmtId="0" fontId="0" fillId="0" borderId="18" xfId="0" applyBorder="1"/>
    <xf numFmtId="0" fontId="0" fillId="0" borderId="17" xfId="0" applyBorder="1"/>
    <xf numFmtId="0" fontId="9" fillId="0" borderId="0" xfId="0" applyFont="1" applyBorder="1" applyAlignment="1">
      <alignment horizontal="left" vertical="center" indent="1"/>
    </xf>
    <xf numFmtId="0" fontId="14" fillId="6" borderId="0" xfId="0" applyFont="1" applyFill="1" applyBorder="1" applyAlignment="1">
      <alignment horizontal="left" vertical="center" wrapText="1" indent="1"/>
    </xf>
    <xf numFmtId="0" fontId="0" fillId="0" borderId="0" xfId="0" applyBorder="1" applyAlignment="1">
      <alignment horizontal="left" vertical="center" wrapText="1" indent="1"/>
    </xf>
    <xf numFmtId="0" fontId="0" fillId="0" borderId="5" xfId="0" applyBorder="1" applyAlignment="1">
      <alignment horizontal="left" vertical="center" wrapText="1" indent="1"/>
    </xf>
    <xf numFmtId="0" fontId="17" fillId="0" borderId="0" xfId="0" applyFont="1" applyBorder="1" applyAlignment="1">
      <alignment horizontal="left" vertical="center" wrapText="1" indent="1"/>
    </xf>
    <xf numFmtId="0" fontId="3" fillId="0" borderId="0" xfId="0" applyFont="1" applyAlignment="1">
      <alignment horizontal="left" vertical="center" wrapText="1" indent="1"/>
    </xf>
    <xf numFmtId="0" fontId="19" fillId="6" borderId="0" xfId="0" applyFont="1" applyFill="1" applyBorder="1" applyAlignment="1">
      <alignment horizontal="left" vertical="center" indent="1"/>
    </xf>
    <xf numFmtId="0" fontId="8" fillId="0" borderId="0" xfId="0" applyFont="1" applyBorder="1" applyAlignment="1">
      <alignment horizontal="left" vertical="center" wrapText="1" indent="1"/>
    </xf>
    <xf numFmtId="0" fontId="13" fillId="8" borderId="0" xfId="0" applyFont="1" applyFill="1" applyBorder="1" applyAlignment="1">
      <alignment horizontal="left" vertical="center" wrapText="1" indent="1"/>
    </xf>
    <xf numFmtId="0" fontId="9" fillId="0" borderId="0" xfId="0" applyFont="1" applyFill="1" applyAlignment="1">
      <alignment horizontal="center" vertical="center"/>
    </xf>
    <xf numFmtId="0" fontId="29" fillId="0" borderId="0" xfId="0" applyFont="1" applyAlignment="1">
      <alignment horizontal="left" vertical="center" wrapText="1" indent="1"/>
    </xf>
    <xf numFmtId="0" fontId="30" fillId="0" borderId="0" xfId="0" applyFont="1" applyAlignment="1">
      <alignment horizontal="left" vertical="center" wrapText="1" indent="1"/>
    </xf>
    <xf numFmtId="0" fontId="29" fillId="0" borderId="0" xfId="0" applyFont="1" applyAlignment="1">
      <alignment horizontal="left" vertical="center"/>
    </xf>
    <xf numFmtId="0" fontId="29" fillId="0" borderId="6" xfId="0" applyFont="1" applyBorder="1" applyAlignment="1">
      <alignment horizontal="left" vertical="center"/>
    </xf>
  </cellXfs>
  <cellStyles count="7">
    <cellStyle name="Calculation" xfId="5" builtinId="22"/>
    <cellStyle name="Comma" xfId="1" builtinId="3"/>
    <cellStyle name="Hyperlink" xfId="6" builtinId="8"/>
    <cellStyle name="Input" xfId="2" builtinId="20"/>
    <cellStyle name="Normal" xfId="0" builtinId="0"/>
    <cellStyle name="Note" xfId="3" builtinId="10"/>
    <cellStyle name="Percent" xfId="4" builtinId="5"/>
  </cellStyles>
  <dxfs count="158">
    <dxf>
      <alignment horizontal="left" vertical="center" textRotation="0" wrapText="1" indent="1" justifyLastLine="0" shrinkToFit="0" readingOrder="0"/>
    </dxf>
    <dxf>
      <alignment horizontal="left" vertical="center" textRotation="0" wrapText="0" indent="1" justifyLastLine="0" shrinkToFit="0" readingOrder="0"/>
    </dxf>
    <dxf>
      <alignment horizontal="left" vertical="center" textRotation="0" indent="1" justifyLastLine="0" shrinkToFit="0" readingOrder="0"/>
    </dxf>
    <dxf>
      <border outline="0">
        <bottom style="thin">
          <color rgb="FF000000"/>
        </bottom>
      </border>
    </dxf>
    <dxf>
      <alignment vertical="center" textRotation="0" wrapText="0" indent="0" justifyLastLine="0" shrinkToFit="0" readingOrder="0"/>
    </dxf>
    <dxf>
      <font>
        <strike val="0"/>
        <outline val="0"/>
        <shadow val="0"/>
        <u val="none"/>
        <vertAlign val="baseline"/>
        <sz val="8"/>
        <color theme="1"/>
        <name val="Calibri"/>
        <family val="2"/>
        <scheme val="minor"/>
      </font>
      <numFmt numFmtId="166" formatCode="0.0%"/>
      <alignment horizontal="general" vertical="center" textRotation="0" wrapText="0" indent="0" justifyLastLine="0" shrinkToFit="0" readingOrder="0"/>
    </dxf>
    <dxf>
      <font>
        <strike val="0"/>
        <outline val="0"/>
        <shadow val="0"/>
        <u val="none"/>
        <vertAlign val="baseline"/>
        <sz val="8"/>
        <color theme="1"/>
        <name val="Calibri"/>
        <family val="2"/>
        <scheme val="minor"/>
      </font>
      <numFmt numFmtId="166" formatCode="0.0%"/>
      <alignment horizontal="general" vertical="center" textRotation="0" wrapText="0" indent="0" justifyLastLine="0" shrinkToFit="0" readingOrder="0"/>
    </dxf>
    <dxf>
      <font>
        <strike val="0"/>
        <outline val="0"/>
        <shadow val="0"/>
        <u val="none"/>
        <vertAlign val="baseline"/>
        <sz val="8"/>
        <color theme="1"/>
        <name val="Calibri"/>
        <family val="2"/>
        <scheme val="minor"/>
      </font>
      <numFmt numFmtId="166" formatCode="0.0%"/>
      <alignment horizontal="general" vertical="center" textRotation="0" wrapText="0" indent="0" justifyLastLine="0" shrinkToFit="0" readingOrder="0"/>
    </dxf>
    <dxf>
      <font>
        <strike val="0"/>
        <outline val="0"/>
        <shadow val="0"/>
        <u val="none"/>
        <vertAlign val="baseline"/>
        <sz val="8"/>
        <color theme="1"/>
        <name val="Calibri"/>
        <family val="2"/>
        <scheme val="minor"/>
      </font>
      <numFmt numFmtId="166" formatCode="0.0%"/>
      <alignment horizontal="general" vertical="center" textRotation="0" wrapText="0" indent="0" justifyLastLine="0" shrinkToFit="0" readingOrder="0"/>
    </dxf>
    <dxf>
      <font>
        <strike val="0"/>
        <outline val="0"/>
        <shadow val="0"/>
        <u val="none"/>
        <vertAlign val="baseline"/>
        <sz val="8"/>
        <color theme="1"/>
        <name val="Calibri"/>
        <family val="2"/>
        <scheme val="minor"/>
      </font>
      <numFmt numFmtId="166" formatCode="0.0%"/>
      <alignment horizontal="general" vertical="center" textRotation="0" wrapText="0" indent="0" justifyLastLine="0" shrinkToFit="0" readingOrder="0"/>
    </dxf>
    <dxf>
      <font>
        <strike val="0"/>
        <outline val="0"/>
        <shadow val="0"/>
        <u val="none"/>
        <vertAlign val="baseline"/>
        <sz val="8"/>
        <color theme="1"/>
        <name val="Calibri"/>
        <family val="2"/>
        <scheme val="minor"/>
      </font>
      <numFmt numFmtId="166" formatCode="0.0%"/>
      <alignment horizontal="general" vertical="center" textRotation="0" wrapText="0" indent="0" justifyLastLine="0" shrinkToFit="0" readingOrder="0"/>
    </dxf>
    <dxf>
      <font>
        <strike val="0"/>
        <outline val="0"/>
        <shadow val="0"/>
        <u val="none"/>
        <vertAlign val="baseline"/>
        <sz val="8"/>
        <color theme="1"/>
        <name val="Calibri"/>
        <family val="2"/>
        <scheme val="minor"/>
      </font>
      <numFmt numFmtId="166" formatCode="0.0%"/>
      <alignment horizontal="general" vertical="center" textRotation="0" wrapText="0" indent="0" justifyLastLine="0" shrinkToFit="0" readingOrder="0"/>
    </dxf>
    <dxf>
      <font>
        <strike val="0"/>
        <outline val="0"/>
        <shadow val="0"/>
        <u val="none"/>
        <vertAlign val="baseline"/>
        <sz val="8"/>
        <color theme="1"/>
        <name val="Calibri"/>
        <family val="2"/>
        <scheme val="minor"/>
      </font>
      <numFmt numFmtId="166" formatCode="0.0%"/>
      <alignment horizontal="general" vertical="center" textRotation="0" wrapText="0" indent="0" justifyLastLine="0" shrinkToFit="0" readingOrder="0"/>
    </dxf>
    <dxf>
      <font>
        <strike val="0"/>
        <outline val="0"/>
        <shadow val="0"/>
        <u val="none"/>
        <vertAlign val="baseline"/>
        <sz val="8"/>
        <color theme="1"/>
        <name val="Calibri"/>
        <family val="2"/>
        <scheme val="minor"/>
      </font>
      <numFmt numFmtId="166" formatCode="0.0%"/>
      <alignment horizontal="general" vertical="center" textRotation="0" wrapText="0" indent="0" justifyLastLine="0" shrinkToFit="0" readingOrder="0"/>
    </dxf>
    <dxf>
      <font>
        <strike val="0"/>
        <outline val="0"/>
        <shadow val="0"/>
        <u val="none"/>
        <vertAlign val="baseline"/>
        <sz val="8"/>
        <color theme="1"/>
        <name val="Calibri"/>
        <family val="2"/>
        <scheme val="minor"/>
      </font>
      <numFmt numFmtId="166" formatCode="0.0%"/>
      <alignment horizontal="general" vertical="center" textRotation="0" wrapText="0" indent="0" justifyLastLine="0" shrinkToFit="0" readingOrder="0"/>
    </dxf>
    <dxf>
      <font>
        <strike val="0"/>
        <outline val="0"/>
        <shadow val="0"/>
        <u val="none"/>
        <vertAlign val="baseline"/>
        <sz val="8"/>
        <color theme="1"/>
        <name val="Calibri"/>
        <family val="2"/>
        <scheme val="minor"/>
      </font>
      <numFmt numFmtId="166" formatCode="0.0%"/>
      <alignment horizontal="general" vertical="center" textRotation="0" wrapText="0" indent="0" justifyLastLine="0" shrinkToFit="0" readingOrder="0"/>
    </dxf>
    <dxf>
      <font>
        <strike val="0"/>
        <outline val="0"/>
        <shadow val="0"/>
        <u val="none"/>
        <vertAlign val="baseline"/>
        <sz val="8"/>
        <color theme="1"/>
        <name val="Calibri"/>
        <family val="2"/>
        <scheme val="minor"/>
      </font>
      <numFmt numFmtId="166" formatCode="0.0%"/>
      <alignment horizontal="general" vertical="center" textRotation="0" wrapText="0" indent="0" justifyLastLine="0" shrinkToFit="0" readingOrder="0"/>
    </dxf>
    <dxf>
      <font>
        <strike val="0"/>
        <outline val="0"/>
        <shadow val="0"/>
        <u val="none"/>
        <vertAlign val="baseline"/>
        <sz val="8"/>
        <color theme="1"/>
        <name val="Calibri"/>
        <family val="2"/>
        <scheme val="minor"/>
      </font>
      <numFmt numFmtId="166" formatCode="0.0%"/>
      <alignment horizontal="general" vertical="center" textRotation="0" wrapText="0" indent="0" justifyLastLine="0" shrinkToFit="0" readingOrder="0"/>
    </dxf>
    <dxf>
      <font>
        <strike val="0"/>
        <outline val="0"/>
        <shadow val="0"/>
        <u val="none"/>
        <vertAlign val="baseline"/>
        <sz val="8"/>
        <color theme="1"/>
        <name val="Calibri"/>
        <family val="2"/>
        <scheme val="minor"/>
      </font>
      <numFmt numFmtId="166" formatCode="0.0%"/>
      <alignment horizontal="general" vertical="center" textRotation="0" wrapText="0" indent="0" justifyLastLine="0" shrinkToFit="0" readingOrder="0"/>
    </dxf>
    <dxf>
      <font>
        <strike val="0"/>
        <outline val="0"/>
        <shadow val="0"/>
        <u val="none"/>
        <vertAlign val="baseline"/>
        <sz val="8"/>
        <color theme="1"/>
        <name val="Calibri"/>
        <family val="2"/>
        <scheme val="minor"/>
      </font>
      <numFmt numFmtId="166" formatCode="0.0%"/>
      <alignment horizontal="general" vertical="center" textRotation="0" wrapText="0" indent="0" justifyLastLine="0" shrinkToFit="0" readingOrder="0"/>
    </dxf>
    <dxf>
      <font>
        <strike val="0"/>
        <outline val="0"/>
        <shadow val="0"/>
        <u val="none"/>
        <vertAlign val="baseline"/>
        <sz val="8"/>
        <color theme="1"/>
        <name val="Calibri"/>
        <family val="2"/>
        <scheme val="minor"/>
      </font>
      <numFmt numFmtId="166" formatCode="0.0%"/>
      <alignment horizontal="general" vertical="center" textRotation="0" wrapText="0" indent="0" justifyLastLine="0" shrinkToFit="0" readingOrder="0"/>
    </dxf>
    <dxf>
      <alignment horizontal="left" vertical="center" textRotation="0" wrapText="0" indent="1" justifyLastLine="0" shrinkToFit="0" readingOrder="0"/>
    </dxf>
    <dxf>
      <alignment vertical="center" textRotation="0" wrapText="0" indent="0" justifyLastLine="0" shrinkToFit="0" readingOrder="0"/>
    </dxf>
    <dxf>
      <alignment vertical="center" textRotation="0" wrapText="0" indent="0" justifyLastLine="0" shrinkToFit="0" readingOrder="0"/>
    </dxf>
    <dxf>
      <font>
        <strike val="0"/>
        <outline val="0"/>
        <shadow val="0"/>
        <u val="none"/>
        <vertAlign val="baseline"/>
        <sz val="9"/>
        <color theme="1"/>
        <name val="Calibri"/>
        <family val="2"/>
        <scheme val="minor"/>
      </font>
      <numFmt numFmtId="165" formatCode="_(* #,##0_);_(* \(#,##0\);_(* &quot;-&quot;??_);_(@_)"/>
      <alignment horizontal="general" vertical="center" textRotation="0" wrapText="0" indent="0" justifyLastLine="0" shrinkToFit="0" readingOrder="0"/>
    </dxf>
    <dxf>
      <font>
        <strike val="0"/>
        <outline val="0"/>
        <shadow val="0"/>
        <u val="none"/>
        <vertAlign val="baseline"/>
        <sz val="9"/>
        <color theme="1"/>
        <name val="Calibri"/>
        <family val="2"/>
        <scheme val="minor"/>
      </font>
      <numFmt numFmtId="165" formatCode="_(* #,##0_);_(* \(#,##0\);_(* &quot;-&quot;??_);_(@_)"/>
      <alignment horizontal="general" vertical="center" textRotation="0" wrapText="0" indent="0" justifyLastLine="0" shrinkToFit="0" readingOrder="0"/>
    </dxf>
    <dxf>
      <font>
        <strike val="0"/>
        <outline val="0"/>
        <shadow val="0"/>
        <u val="none"/>
        <vertAlign val="baseline"/>
        <sz val="9"/>
        <color theme="1"/>
        <name val="Calibri"/>
        <family val="2"/>
        <scheme val="minor"/>
      </font>
      <numFmt numFmtId="165" formatCode="_(* #,##0_);_(* \(#,##0\);_(* &quot;-&quot;??_);_(@_)"/>
      <alignment horizontal="general" vertical="center" textRotation="0" wrapText="0" indent="0" justifyLastLine="0" shrinkToFit="0" readingOrder="0"/>
    </dxf>
    <dxf>
      <font>
        <strike val="0"/>
        <outline val="0"/>
        <shadow val="0"/>
        <u val="none"/>
        <vertAlign val="baseline"/>
        <sz val="9"/>
        <color theme="1"/>
        <name val="Calibri"/>
        <family val="2"/>
        <scheme val="minor"/>
      </font>
      <numFmt numFmtId="165" formatCode="_(* #,##0_);_(* \(#,##0\);_(* &quot;-&quot;??_);_(@_)"/>
      <alignment horizontal="general" vertical="center" textRotation="0" wrapText="0" indent="0" justifyLastLine="0" shrinkToFit="0" readingOrder="0"/>
    </dxf>
    <dxf>
      <font>
        <strike val="0"/>
        <outline val="0"/>
        <shadow val="0"/>
        <u val="none"/>
        <vertAlign val="baseline"/>
        <sz val="9"/>
        <color theme="1"/>
        <name val="Calibri"/>
        <family val="2"/>
        <scheme val="minor"/>
      </font>
      <numFmt numFmtId="165" formatCode="_(* #,##0_);_(* \(#,##0\);_(* &quot;-&quot;??_);_(@_)"/>
      <alignment horizontal="general" vertical="center" textRotation="0" wrapText="0" indent="0" justifyLastLine="0" shrinkToFit="0" readingOrder="0"/>
    </dxf>
    <dxf>
      <font>
        <strike val="0"/>
        <outline val="0"/>
        <shadow val="0"/>
        <u val="none"/>
        <vertAlign val="baseline"/>
        <sz val="9"/>
        <color theme="1"/>
        <name val="Calibri"/>
        <family val="2"/>
        <scheme val="minor"/>
      </font>
      <numFmt numFmtId="165" formatCode="_(* #,##0_);_(* \(#,##0\);_(* &quot;-&quot;??_);_(@_)"/>
      <alignment horizontal="general" vertical="center" textRotation="0" wrapText="0" indent="0" justifyLastLine="0" shrinkToFit="0" readingOrder="0"/>
    </dxf>
    <dxf>
      <font>
        <strike val="0"/>
        <outline val="0"/>
        <shadow val="0"/>
        <u val="none"/>
        <vertAlign val="baseline"/>
        <sz val="9"/>
        <color theme="1"/>
        <name val="Calibri"/>
        <family val="2"/>
        <scheme val="minor"/>
      </font>
      <numFmt numFmtId="165" formatCode="_(* #,##0_);_(* \(#,##0\);_(* &quot;-&quot;??_);_(@_)"/>
      <alignment horizontal="general" vertical="center" textRotation="0" wrapText="0" indent="0" justifyLastLine="0" shrinkToFit="0" readingOrder="0"/>
    </dxf>
    <dxf>
      <font>
        <strike val="0"/>
        <outline val="0"/>
        <shadow val="0"/>
        <u val="none"/>
        <vertAlign val="baseline"/>
        <sz val="9"/>
        <color theme="1"/>
        <name val="Calibri"/>
        <family val="2"/>
        <scheme val="minor"/>
      </font>
      <numFmt numFmtId="165" formatCode="_(* #,##0_);_(* \(#,##0\);_(* &quot;-&quot;??_);_(@_)"/>
      <alignment horizontal="general" vertical="center" textRotation="0" wrapText="0" indent="0" justifyLastLine="0" shrinkToFit="0" readingOrder="0"/>
    </dxf>
    <dxf>
      <font>
        <strike val="0"/>
        <outline val="0"/>
        <shadow val="0"/>
        <u val="none"/>
        <vertAlign val="baseline"/>
        <sz val="9"/>
        <color theme="1"/>
        <name val="Calibri"/>
        <family val="2"/>
        <scheme val="minor"/>
      </font>
      <numFmt numFmtId="165" formatCode="_(* #,##0_);_(* \(#,##0\);_(* &quot;-&quot;??_);_(@_)"/>
      <alignment horizontal="general" vertical="center" textRotation="0" wrapText="0" indent="0" justifyLastLine="0" shrinkToFit="0" readingOrder="0"/>
    </dxf>
    <dxf>
      <font>
        <strike val="0"/>
        <outline val="0"/>
        <shadow val="0"/>
        <u val="none"/>
        <vertAlign val="baseline"/>
        <sz val="9"/>
        <color theme="1"/>
        <name val="Calibri"/>
        <family val="2"/>
        <scheme val="minor"/>
      </font>
      <numFmt numFmtId="165" formatCode="_(* #,##0_);_(* \(#,##0\);_(* &quot;-&quot;??_);_(@_)"/>
      <alignment horizontal="general" vertical="center" textRotation="0" wrapText="0" indent="0" justifyLastLine="0" shrinkToFit="0" readingOrder="0"/>
    </dxf>
    <dxf>
      <font>
        <strike val="0"/>
        <outline val="0"/>
        <shadow val="0"/>
        <u val="none"/>
        <vertAlign val="baseline"/>
        <sz val="9"/>
        <color theme="1"/>
        <name val="Calibri"/>
        <family val="2"/>
        <scheme val="minor"/>
      </font>
      <numFmt numFmtId="165" formatCode="_(* #,##0_);_(* \(#,##0\);_(* &quot;-&quot;??_);_(@_)"/>
      <alignment horizontal="general" vertical="center" textRotation="0" wrapText="0" indent="0" justifyLastLine="0" shrinkToFit="0" readingOrder="0"/>
    </dxf>
    <dxf>
      <font>
        <strike val="0"/>
        <outline val="0"/>
        <shadow val="0"/>
        <u val="none"/>
        <vertAlign val="baseline"/>
        <sz val="9"/>
        <color theme="1"/>
        <name val="Calibri"/>
        <family val="2"/>
        <scheme val="minor"/>
      </font>
      <numFmt numFmtId="165" formatCode="_(* #,##0_);_(* \(#,##0\);_(* &quot;-&quot;??_);_(@_)"/>
      <alignment horizontal="general" vertical="center" textRotation="0" wrapText="0" indent="0" justifyLastLine="0" shrinkToFit="0" readingOrder="0"/>
    </dxf>
    <dxf>
      <font>
        <strike val="0"/>
        <outline val="0"/>
        <shadow val="0"/>
        <u val="none"/>
        <vertAlign val="baseline"/>
        <sz val="9"/>
        <color theme="1"/>
        <name val="Calibri"/>
        <family val="2"/>
        <scheme val="minor"/>
      </font>
      <numFmt numFmtId="165" formatCode="_(* #,##0_);_(* \(#,##0\);_(* &quot;-&quot;??_);_(@_)"/>
      <alignment horizontal="general" vertical="center" textRotation="0" wrapText="0" indent="0" justifyLastLine="0" shrinkToFit="0" readingOrder="0"/>
    </dxf>
    <dxf>
      <font>
        <strike val="0"/>
        <outline val="0"/>
        <shadow val="0"/>
        <u val="none"/>
        <vertAlign val="baseline"/>
        <sz val="9"/>
        <color theme="1"/>
        <name val="Calibri"/>
        <family val="2"/>
        <scheme val="minor"/>
      </font>
      <numFmt numFmtId="165" formatCode="_(* #,##0_);_(* \(#,##0\);_(* &quot;-&quot;??_);_(@_)"/>
      <alignment horizontal="general" vertical="center" textRotation="0" wrapText="0" indent="0" justifyLastLine="0" shrinkToFit="0" readingOrder="0"/>
    </dxf>
    <dxf>
      <font>
        <strike val="0"/>
        <outline val="0"/>
        <shadow val="0"/>
        <u val="none"/>
        <vertAlign val="baseline"/>
        <sz val="9"/>
        <color theme="1"/>
        <name val="Calibri"/>
        <family val="2"/>
        <scheme val="minor"/>
      </font>
      <numFmt numFmtId="165" formatCode="_(* #,##0_);_(* \(#,##0\);_(* &quot;-&quot;??_);_(@_)"/>
      <alignment horizontal="general" vertical="center" textRotation="0" wrapText="0" indent="0" justifyLastLine="0" shrinkToFit="0" readingOrder="0"/>
    </dxf>
    <dxf>
      <font>
        <strike val="0"/>
        <outline val="0"/>
        <shadow val="0"/>
        <u val="none"/>
        <vertAlign val="baseline"/>
        <sz val="9"/>
        <color theme="1"/>
        <name val="Calibri"/>
        <family val="2"/>
        <scheme val="minor"/>
      </font>
      <numFmt numFmtId="165" formatCode="_(* #,##0_);_(* \(#,##0\);_(* &quot;-&quot;??_);_(@_)"/>
      <alignment horizontal="general" vertical="center" textRotation="0" wrapText="0" indent="0" justifyLastLine="0" shrinkToFit="0" readingOrder="0"/>
    </dxf>
    <dxf>
      <alignment horizontal="left" vertical="center" textRotation="0" wrapText="0" indent="1" justifyLastLine="0" shrinkToFit="0" readingOrder="0"/>
    </dxf>
    <dxf>
      <alignment vertical="center" textRotation="0" wrapText="0" indent="0" justifyLastLine="0" shrinkToFit="0" readingOrder="0"/>
    </dxf>
    <dxf>
      <alignment horizontal="center" vertical="center" textRotation="0" wrapText="0" indent="0" justifyLastLine="0" shrinkToFit="0" readingOrder="0"/>
    </dxf>
    <dxf>
      <font>
        <b val="0"/>
        <i val="0"/>
        <strike val="0"/>
        <condense val="0"/>
        <extend val="0"/>
        <outline val="0"/>
        <shadow val="0"/>
        <u val="none"/>
        <vertAlign val="baseline"/>
        <sz val="9"/>
        <color theme="1"/>
        <name val="Calibri"/>
        <family val="2"/>
        <scheme val="minor"/>
      </font>
      <numFmt numFmtId="164" formatCode="_(* #,##0.0_);_(* \(#,##0.0\);_(* &quot;-&quot;??_);_(@_)"/>
    </dxf>
    <dxf>
      <font>
        <b val="0"/>
        <i val="0"/>
        <strike val="0"/>
        <condense val="0"/>
        <extend val="0"/>
        <outline val="0"/>
        <shadow val="0"/>
        <u val="none"/>
        <vertAlign val="baseline"/>
        <sz val="9"/>
        <color theme="1"/>
        <name val="Calibri"/>
        <family val="2"/>
        <scheme val="minor"/>
      </font>
      <numFmt numFmtId="164" formatCode="_(* #,##0.0_);_(* \(#,##0.0\);_(* &quot;-&quot;??_);_(@_)"/>
    </dxf>
    <dxf>
      <font>
        <b val="0"/>
        <i val="0"/>
        <strike val="0"/>
        <condense val="0"/>
        <extend val="0"/>
        <outline val="0"/>
        <shadow val="0"/>
        <u val="none"/>
        <vertAlign val="baseline"/>
        <sz val="9"/>
        <color theme="1"/>
        <name val="Calibri"/>
        <family val="2"/>
        <scheme val="minor"/>
      </font>
      <numFmt numFmtId="164" formatCode="_(* #,##0.0_);_(* \(#,##0.0\);_(* &quot;-&quot;??_);_(@_)"/>
    </dxf>
    <dxf>
      <font>
        <b val="0"/>
        <i val="0"/>
        <strike val="0"/>
        <condense val="0"/>
        <extend val="0"/>
        <outline val="0"/>
        <shadow val="0"/>
        <u val="none"/>
        <vertAlign val="baseline"/>
        <sz val="9"/>
        <color theme="1"/>
        <name val="Calibri"/>
        <family val="2"/>
        <scheme val="minor"/>
      </font>
      <numFmt numFmtId="164" formatCode="_(* #,##0.0_);_(* \(#,##0.0\);_(* &quot;-&quot;??_);_(@_)"/>
    </dxf>
    <dxf>
      <font>
        <b val="0"/>
        <i val="0"/>
        <strike val="0"/>
        <condense val="0"/>
        <extend val="0"/>
        <outline val="0"/>
        <shadow val="0"/>
        <u val="none"/>
        <vertAlign val="baseline"/>
        <sz val="9"/>
        <color theme="1"/>
        <name val="Calibri"/>
        <family val="2"/>
        <scheme val="minor"/>
      </font>
      <numFmt numFmtId="164" formatCode="_(* #,##0.0_);_(* \(#,##0.0\);_(* &quot;-&quot;??_);_(@_)"/>
    </dxf>
    <dxf>
      <font>
        <b val="0"/>
        <i val="0"/>
        <strike val="0"/>
        <condense val="0"/>
        <extend val="0"/>
        <outline val="0"/>
        <shadow val="0"/>
        <u val="none"/>
        <vertAlign val="baseline"/>
        <sz val="9"/>
        <color theme="1"/>
        <name val="Calibri"/>
        <family val="2"/>
        <scheme val="minor"/>
      </font>
      <numFmt numFmtId="164" formatCode="_(* #,##0.0_);_(* \(#,##0.0\);_(* &quot;-&quot;??_);_(@_)"/>
    </dxf>
    <dxf>
      <font>
        <b val="0"/>
        <i val="0"/>
        <strike val="0"/>
        <condense val="0"/>
        <extend val="0"/>
        <outline val="0"/>
        <shadow val="0"/>
        <u val="none"/>
        <vertAlign val="baseline"/>
        <sz val="9"/>
        <color theme="1"/>
        <name val="Calibri"/>
        <family val="2"/>
        <scheme val="minor"/>
      </font>
      <numFmt numFmtId="164" formatCode="_(* #,##0.0_);_(* \(#,##0.0\);_(* &quot;-&quot;??_);_(@_)"/>
    </dxf>
    <dxf>
      <font>
        <b val="0"/>
        <i val="0"/>
        <strike val="0"/>
        <condense val="0"/>
        <extend val="0"/>
        <outline val="0"/>
        <shadow val="0"/>
        <u val="none"/>
        <vertAlign val="baseline"/>
        <sz val="9"/>
        <color theme="1"/>
        <name val="Calibri"/>
        <family val="2"/>
        <scheme val="minor"/>
      </font>
      <numFmt numFmtId="164" formatCode="_(* #,##0.0_);_(* \(#,##0.0\);_(* &quot;-&quot;??_);_(@_)"/>
    </dxf>
    <dxf>
      <font>
        <b val="0"/>
        <i val="0"/>
        <strike val="0"/>
        <condense val="0"/>
        <extend val="0"/>
        <outline val="0"/>
        <shadow val="0"/>
        <u val="none"/>
        <vertAlign val="baseline"/>
        <sz val="9"/>
        <color theme="1"/>
        <name val="Calibri"/>
        <family val="2"/>
        <scheme val="minor"/>
      </font>
      <numFmt numFmtId="164" formatCode="_(* #,##0.0_);_(* \(#,##0.0\);_(* &quot;-&quot;??_);_(@_)"/>
    </dxf>
    <dxf>
      <font>
        <b val="0"/>
        <i val="0"/>
        <strike val="0"/>
        <condense val="0"/>
        <extend val="0"/>
        <outline val="0"/>
        <shadow val="0"/>
        <u val="none"/>
        <vertAlign val="baseline"/>
        <sz val="9"/>
        <color theme="1"/>
        <name val="Calibri"/>
        <family val="2"/>
        <scheme val="minor"/>
      </font>
      <numFmt numFmtId="164" formatCode="_(* #,##0.0_);_(* \(#,##0.0\);_(* &quot;-&quot;??_);_(@_)"/>
    </dxf>
    <dxf>
      <font>
        <b val="0"/>
        <i val="0"/>
        <strike val="0"/>
        <condense val="0"/>
        <extend val="0"/>
        <outline val="0"/>
        <shadow val="0"/>
        <u val="none"/>
        <vertAlign val="baseline"/>
        <sz val="9"/>
        <color theme="1"/>
        <name val="Calibri"/>
        <family val="2"/>
        <scheme val="minor"/>
      </font>
      <numFmt numFmtId="164" formatCode="_(* #,##0.0_);_(* \(#,##0.0\);_(* &quot;-&quot;??_);_(@_)"/>
    </dxf>
    <dxf>
      <font>
        <b val="0"/>
        <i val="0"/>
        <strike val="0"/>
        <condense val="0"/>
        <extend val="0"/>
        <outline val="0"/>
        <shadow val="0"/>
        <u val="none"/>
        <vertAlign val="baseline"/>
        <sz val="9"/>
        <color theme="1"/>
        <name val="Calibri"/>
        <family val="2"/>
        <scheme val="minor"/>
      </font>
      <numFmt numFmtId="164" formatCode="_(* #,##0.0_);_(* \(#,##0.0\);_(* &quot;-&quot;??_);_(@_)"/>
    </dxf>
    <dxf>
      <font>
        <b val="0"/>
        <i val="0"/>
        <strike val="0"/>
        <condense val="0"/>
        <extend val="0"/>
        <outline val="0"/>
        <shadow val="0"/>
        <u val="none"/>
        <vertAlign val="baseline"/>
        <sz val="9"/>
        <color theme="1"/>
        <name val="Calibri"/>
        <family val="2"/>
        <scheme val="minor"/>
      </font>
      <numFmt numFmtId="164" formatCode="_(* #,##0.0_);_(* \(#,##0.0\);_(* &quot;-&quot;??_);_(@_)"/>
    </dxf>
    <dxf>
      <font>
        <b val="0"/>
        <i val="0"/>
        <strike val="0"/>
        <condense val="0"/>
        <extend val="0"/>
        <outline val="0"/>
        <shadow val="0"/>
        <u val="none"/>
        <vertAlign val="baseline"/>
        <sz val="9"/>
        <color theme="1"/>
        <name val="Calibri"/>
        <family val="2"/>
        <scheme val="minor"/>
      </font>
      <numFmt numFmtId="164" formatCode="_(* #,##0.0_);_(* \(#,##0.0\);_(* &quot;-&quot;??_);_(@_)"/>
    </dxf>
    <dxf>
      <font>
        <b val="0"/>
        <i val="0"/>
        <strike val="0"/>
        <condense val="0"/>
        <extend val="0"/>
        <outline val="0"/>
        <shadow val="0"/>
        <u val="none"/>
        <vertAlign val="baseline"/>
        <sz val="9"/>
        <color theme="1"/>
        <name val="Calibri"/>
        <family val="2"/>
        <scheme val="minor"/>
      </font>
      <numFmt numFmtId="164" formatCode="_(* #,##0.0_);_(* \(#,##0.0\);_(* &quot;-&quot;??_);_(@_)"/>
    </dxf>
    <dxf>
      <font>
        <b val="0"/>
        <i val="0"/>
        <strike val="0"/>
        <condense val="0"/>
        <extend val="0"/>
        <outline val="0"/>
        <shadow val="0"/>
        <u val="none"/>
        <vertAlign val="baseline"/>
        <sz val="9"/>
        <color theme="1"/>
        <name val="Calibri"/>
        <family val="2"/>
        <scheme val="minor"/>
      </font>
      <numFmt numFmtId="164" formatCode="_(* #,##0.0_);_(* \(#,##0.0\);_(* &quot;-&quot;??_);_(@_)"/>
    </dxf>
    <dxf>
      <alignment horizontal="left" vertical="bottom" textRotation="0" wrapText="0" indent="1" justifyLastLine="0" shrinkToFit="0" readingOrder="0"/>
    </dxf>
    <dxf>
      <font>
        <b val="0"/>
        <i val="0"/>
        <strike val="0"/>
        <condense val="0"/>
        <extend val="0"/>
        <outline val="0"/>
        <shadow val="0"/>
        <u val="none"/>
        <vertAlign val="baseline"/>
        <sz val="11"/>
        <color theme="1"/>
        <name val="Calibri"/>
        <family val="2"/>
        <scheme val="minor"/>
      </font>
    </dxf>
    <dxf>
      <numFmt numFmtId="0" formatCode="General"/>
      <alignment horizontal="left" vertical="center" textRotation="0" wrapText="0" indent="0" justifyLastLine="0" shrinkToFit="0" readingOrder="0"/>
    </dxf>
    <dxf>
      <font>
        <strike val="0"/>
        <outline val="0"/>
        <shadow val="0"/>
        <u val="none"/>
        <vertAlign val="baseline"/>
        <sz val="9"/>
        <color theme="1"/>
        <name val="Calibri"/>
        <family val="2"/>
        <scheme val="minor"/>
      </font>
      <numFmt numFmtId="167" formatCode="0.0"/>
      <alignment horizontal="general" vertical="center" textRotation="0" wrapText="0" indent="0" justifyLastLine="0" shrinkToFit="0" readingOrder="0"/>
    </dxf>
    <dxf>
      <font>
        <strike val="0"/>
        <outline val="0"/>
        <shadow val="0"/>
        <u val="none"/>
        <vertAlign val="baseline"/>
        <sz val="9"/>
        <color theme="1"/>
        <name val="Calibri"/>
        <family val="2"/>
        <scheme val="minor"/>
      </font>
      <numFmt numFmtId="167" formatCode="0.0"/>
      <alignment horizontal="general" vertical="center" textRotation="0" wrapText="0" indent="0" justifyLastLine="0" shrinkToFit="0" readingOrder="0"/>
    </dxf>
    <dxf>
      <font>
        <strike val="0"/>
        <outline val="0"/>
        <shadow val="0"/>
        <u val="none"/>
        <vertAlign val="baseline"/>
        <sz val="9"/>
        <color theme="1"/>
        <name val="Calibri"/>
        <family val="2"/>
        <scheme val="minor"/>
      </font>
      <numFmt numFmtId="167" formatCode="0.0"/>
      <alignment horizontal="general" vertical="center" textRotation="0" wrapText="0" indent="0" justifyLastLine="0" shrinkToFit="0" readingOrder="0"/>
    </dxf>
    <dxf>
      <font>
        <strike val="0"/>
        <outline val="0"/>
        <shadow val="0"/>
        <u val="none"/>
        <vertAlign val="baseline"/>
        <sz val="9"/>
        <color theme="1"/>
        <name val="Calibri"/>
        <family val="2"/>
        <scheme val="minor"/>
      </font>
      <numFmt numFmtId="167" formatCode="0.0"/>
      <alignment horizontal="general" vertical="center" textRotation="0" wrapText="0" indent="0" justifyLastLine="0" shrinkToFit="0" readingOrder="0"/>
    </dxf>
    <dxf>
      <font>
        <strike val="0"/>
        <outline val="0"/>
        <shadow val="0"/>
        <u val="none"/>
        <vertAlign val="baseline"/>
        <sz val="9"/>
        <color theme="1"/>
        <name val="Calibri"/>
        <family val="2"/>
        <scheme val="minor"/>
      </font>
      <numFmt numFmtId="167" formatCode="0.0"/>
      <alignment horizontal="general" vertical="center" textRotation="0" wrapText="0" indent="0" justifyLastLine="0" shrinkToFit="0" readingOrder="0"/>
    </dxf>
    <dxf>
      <font>
        <strike val="0"/>
        <outline val="0"/>
        <shadow val="0"/>
        <u val="none"/>
        <vertAlign val="baseline"/>
        <sz val="9"/>
        <color theme="1"/>
        <name val="Calibri"/>
        <family val="2"/>
        <scheme val="minor"/>
      </font>
      <numFmt numFmtId="167" formatCode="0.0"/>
      <alignment horizontal="general" vertical="center" textRotation="0" wrapText="0" indent="0" justifyLastLine="0" shrinkToFit="0" readingOrder="0"/>
    </dxf>
    <dxf>
      <font>
        <strike val="0"/>
        <outline val="0"/>
        <shadow val="0"/>
        <u val="none"/>
        <vertAlign val="baseline"/>
        <sz val="9"/>
        <color theme="1"/>
        <name val="Calibri"/>
        <family val="2"/>
        <scheme val="minor"/>
      </font>
      <numFmt numFmtId="167" formatCode="0.0"/>
      <alignment horizontal="general" vertical="center" textRotation="0" wrapText="0" indent="0" justifyLastLine="0" shrinkToFit="0" readingOrder="0"/>
    </dxf>
    <dxf>
      <font>
        <strike val="0"/>
        <outline val="0"/>
        <shadow val="0"/>
        <u val="none"/>
        <vertAlign val="baseline"/>
        <sz val="9"/>
        <color theme="1"/>
        <name val="Calibri"/>
        <family val="2"/>
        <scheme val="minor"/>
      </font>
      <numFmt numFmtId="167" formatCode="0.0"/>
      <alignment horizontal="general" vertical="center" textRotation="0" wrapText="0" indent="0" justifyLastLine="0" shrinkToFit="0" readingOrder="0"/>
    </dxf>
    <dxf>
      <font>
        <strike val="0"/>
        <outline val="0"/>
        <shadow val="0"/>
        <u val="none"/>
        <vertAlign val="baseline"/>
        <sz val="9"/>
        <color theme="1"/>
        <name val="Calibri"/>
        <family val="2"/>
        <scheme val="minor"/>
      </font>
      <numFmt numFmtId="167" formatCode="0.0"/>
      <alignment horizontal="general" vertical="center" textRotation="0" wrapText="0" indent="0" justifyLastLine="0" shrinkToFit="0" readingOrder="0"/>
    </dxf>
    <dxf>
      <font>
        <strike val="0"/>
        <outline val="0"/>
        <shadow val="0"/>
        <u val="none"/>
        <vertAlign val="baseline"/>
        <sz val="9"/>
        <color theme="1"/>
        <name val="Calibri"/>
        <family val="2"/>
        <scheme val="minor"/>
      </font>
      <numFmt numFmtId="167" formatCode="0.0"/>
      <alignment horizontal="general" vertical="center" textRotation="0" wrapText="0" indent="0" justifyLastLine="0" shrinkToFit="0" readingOrder="0"/>
    </dxf>
    <dxf>
      <font>
        <strike val="0"/>
        <outline val="0"/>
        <shadow val="0"/>
        <u val="none"/>
        <vertAlign val="baseline"/>
        <sz val="9"/>
        <color theme="1"/>
        <name val="Calibri"/>
        <family val="2"/>
        <scheme val="minor"/>
      </font>
      <numFmt numFmtId="167" formatCode="0.0"/>
      <alignment horizontal="general" vertical="center" textRotation="0" wrapText="0" indent="0" justifyLastLine="0" shrinkToFit="0" readingOrder="0"/>
    </dxf>
    <dxf>
      <font>
        <strike val="0"/>
        <outline val="0"/>
        <shadow val="0"/>
        <u val="none"/>
        <vertAlign val="baseline"/>
        <sz val="9"/>
        <color theme="1"/>
        <name val="Calibri"/>
        <family val="2"/>
        <scheme val="minor"/>
      </font>
      <numFmt numFmtId="167" formatCode="0.0"/>
      <alignment horizontal="general" vertical="center" textRotation="0" wrapText="0" indent="0" justifyLastLine="0" shrinkToFit="0" readingOrder="0"/>
    </dxf>
    <dxf>
      <font>
        <strike val="0"/>
        <outline val="0"/>
        <shadow val="0"/>
        <u val="none"/>
        <vertAlign val="baseline"/>
        <sz val="9"/>
        <color theme="1"/>
        <name val="Calibri"/>
        <family val="2"/>
        <scheme val="minor"/>
      </font>
      <numFmt numFmtId="167" formatCode="0.0"/>
      <alignment horizontal="general" vertical="center" textRotation="0" wrapText="0" indent="0" justifyLastLine="0" shrinkToFit="0" readingOrder="0"/>
    </dxf>
    <dxf>
      <font>
        <strike val="0"/>
        <outline val="0"/>
        <shadow val="0"/>
        <u val="none"/>
        <vertAlign val="baseline"/>
        <sz val="9"/>
        <color theme="1"/>
        <name val="Calibri"/>
        <family val="2"/>
        <scheme val="minor"/>
      </font>
      <numFmt numFmtId="167" formatCode="0.0"/>
      <alignment horizontal="general" vertical="center" textRotation="0" wrapText="0" indent="0" justifyLastLine="0" shrinkToFit="0" readingOrder="0"/>
    </dxf>
    <dxf>
      <font>
        <strike val="0"/>
        <outline val="0"/>
        <shadow val="0"/>
        <u val="none"/>
        <vertAlign val="baseline"/>
        <sz val="9"/>
        <color theme="1"/>
        <name val="Calibri"/>
        <family val="2"/>
        <scheme val="minor"/>
      </font>
      <numFmt numFmtId="167" formatCode="0.0"/>
      <alignment horizontal="general" vertical="center" textRotation="0" wrapText="0" indent="0" justifyLastLine="0" shrinkToFit="0" readingOrder="0"/>
    </dxf>
    <dxf>
      <font>
        <strike val="0"/>
        <outline val="0"/>
        <shadow val="0"/>
        <u val="none"/>
        <vertAlign val="baseline"/>
        <sz val="9"/>
        <color theme="1"/>
        <name val="Calibri"/>
        <family val="2"/>
        <scheme val="minor"/>
      </font>
      <numFmt numFmtId="167" formatCode="0.0"/>
      <alignment horizontal="general" vertical="center" textRotation="0" wrapText="0" indent="0" justifyLastLine="0" shrinkToFit="0" readingOrder="0"/>
    </dxf>
    <dxf>
      <alignment horizontal="left" vertical="center" textRotation="0" wrapText="0" indent="1" justifyLastLine="0" shrinkToFit="0" readingOrder="0"/>
    </dxf>
    <dxf>
      <alignment vertical="center" textRotation="0" wrapText="0" indent="0" justifyLastLine="0" shrinkToFit="0" readingOrder="0"/>
    </dxf>
    <dxf>
      <alignment horizontal="center" vertical="center" textRotation="0" wrapText="0" indent="0" justifyLastLine="0" shrinkToFit="0" readingOrder="0"/>
    </dxf>
    <dxf>
      <numFmt numFmtId="165" formatCode="_(* #,##0_);_(* \(#,##0\);_(* &quot;-&quot;??_);_(@_)"/>
      <fill>
        <patternFill patternType="none">
          <fgColor indexed="64"/>
          <bgColor indexed="65"/>
        </patternFill>
      </fill>
      <alignment horizontal="general" vertical="center" textRotation="0" wrapText="0" indent="0" justifyLastLine="0" shrinkToFit="0" readingOrder="0"/>
    </dxf>
    <dxf>
      <font>
        <b val="0"/>
        <i/>
        <strike val="0"/>
        <condense val="0"/>
        <extend val="0"/>
        <outline val="0"/>
        <shadow val="0"/>
        <u val="none"/>
        <vertAlign val="baseline"/>
        <sz val="11"/>
        <color theme="2" tint="-0.499984740745262"/>
        <name val="Calibri"/>
        <family val="2"/>
        <scheme val="minor"/>
      </font>
      <numFmt numFmtId="0" formatCode="General"/>
      <alignment horizontal="left" vertical="center" textRotation="0" wrapText="0" indent="1" justifyLastLine="0" shrinkToFit="0" readingOrder="0"/>
    </dxf>
    <dxf>
      <font>
        <b val="0"/>
        <i/>
        <strike val="0"/>
        <condense val="0"/>
        <extend val="0"/>
        <outline val="0"/>
        <shadow val="0"/>
        <u val="none"/>
        <vertAlign val="baseline"/>
        <sz val="11"/>
        <color theme="2" tint="-0.499984740745262"/>
        <name val="Calibri"/>
        <family val="2"/>
        <scheme val="minor"/>
      </font>
      <alignment horizontal="left" vertical="center" textRotation="0" wrapText="0" indent="1" justifyLastLine="0" shrinkToFit="0" readingOrder="0"/>
    </dxf>
    <dxf>
      <numFmt numFmtId="165" formatCode="_(* #,##0_);_(* \(#,##0\);_(* &quot;-&quot;??_);_(@_)"/>
      <alignment horizontal="general" vertical="center"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left" vertical="center" textRotation="0" wrapText="0" indent="1" justifyLastLine="0" shrinkToFit="0" readingOrder="0"/>
    </dxf>
    <dxf>
      <border outline="0">
        <bottom style="thin">
          <color indexed="64"/>
        </bottom>
      </border>
    </dxf>
    <dxf>
      <font>
        <b/>
        <i val="0"/>
        <strike val="0"/>
        <condense val="0"/>
        <extend val="0"/>
        <outline val="0"/>
        <shadow val="0"/>
        <u val="none"/>
        <vertAlign val="baseline"/>
        <sz val="11"/>
        <color theme="1"/>
        <name val="Calibri"/>
        <family val="2"/>
        <scheme val="minor"/>
      </font>
      <alignment horizontal="left" vertical="center" textRotation="0" wrapText="0" indent="1" justifyLastLine="0" shrinkToFit="0" readingOrder="0"/>
    </dxf>
    <dxf>
      <font>
        <i/>
        <color theme="2" tint="-0.499984740745262"/>
      </font>
      <numFmt numFmtId="0" formatCode="General"/>
      <fill>
        <patternFill patternType="none">
          <fgColor indexed="64"/>
          <bgColor indexed="65"/>
        </patternFill>
      </fill>
      <alignment horizontal="left" vertical="center" textRotation="0" wrapText="0" indent="1" justifyLastLine="0" shrinkToFit="0" readingOrder="0"/>
    </dxf>
    <dxf>
      <font>
        <b val="0"/>
        <i/>
        <strike val="0"/>
        <condense val="0"/>
        <extend val="0"/>
        <outline val="0"/>
        <shadow val="0"/>
        <u val="none"/>
        <vertAlign val="baseline"/>
        <sz val="11"/>
        <color theme="2" tint="-0.499984740745262"/>
        <name val="Calibri"/>
        <family val="2"/>
        <scheme val="minor"/>
      </font>
      <numFmt numFmtId="0" formatCode="General"/>
      <alignment horizontal="left" vertical="center" textRotation="0" wrapText="0" indent="1" justifyLastLine="0" shrinkToFit="0" readingOrder="0"/>
    </dxf>
    <dxf>
      <font>
        <b val="0"/>
        <i/>
        <strike val="0"/>
        <condense val="0"/>
        <extend val="0"/>
        <outline val="0"/>
        <shadow val="0"/>
        <u val="none"/>
        <vertAlign val="baseline"/>
        <sz val="11"/>
        <color theme="2" tint="-0.499984740745262"/>
        <name val="Calibri"/>
        <family val="2"/>
        <scheme val="minor"/>
      </font>
      <alignment horizontal="left" vertical="center" textRotation="0" wrapText="0" indent="1" justifyLastLine="0" shrinkToFit="0" readingOrder="0"/>
      <border outline="0">
        <left style="thin">
          <color rgb="FF7F7F7F"/>
        </left>
      </border>
    </dxf>
    <dxf>
      <numFmt numFmtId="165" formatCode="_(* #,##0_);_(* \(#,##0\);_(* &quot;-&quot;??_);_(@_)"/>
      <alignment horizontal="general" vertical="center"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left" vertical="center" textRotation="0" wrapText="0" indent="1" justifyLastLine="0" shrinkToFit="0" readingOrder="0"/>
      <border outline="0">
        <right style="thin">
          <color rgb="FF7F7F7F"/>
        </right>
      </border>
    </dxf>
    <dxf>
      <border outline="0">
        <bottom style="thin">
          <color indexed="64"/>
        </bottom>
      </border>
    </dxf>
    <dxf>
      <font>
        <b/>
        <i val="0"/>
        <strike val="0"/>
        <condense val="0"/>
        <extend val="0"/>
        <outline val="0"/>
        <shadow val="0"/>
        <u val="none"/>
        <vertAlign val="baseline"/>
        <sz val="11"/>
        <color theme="1"/>
        <name val="Calibri"/>
        <family val="2"/>
        <scheme val="minor"/>
      </font>
      <alignment horizontal="left" vertical="center" textRotation="0" wrapText="0" indent="1" justifyLastLine="0" shrinkToFit="0" readingOrder="0"/>
    </dxf>
    <dxf>
      <numFmt numFmtId="165" formatCode="_(* #,##0_);_(* \(#,##0\);_(* &quot;-&quot;??_);_(@_)"/>
      <fill>
        <patternFill patternType="none">
          <fgColor indexed="64"/>
          <bgColor indexed="65"/>
        </patternFill>
      </fill>
      <alignment horizontal="general" vertical="center" textRotation="0" wrapText="0" indent="0" justifyLastLine="0" shrinkToFit="0" readingOrder="0"/>
    </dxf>
    <dxf>
      <font>
        <b val="0"/>
        <i/>
        <strike val="0"/>
        <condense val="0"/>
        <extend val="0"/>
        <outline val="0"/>
        <shadow val="0"/>
        <u val="none"/>
        <vertAlign val="baseline"/>
        <sz val="11"/>
        <color theme="2" tint="-0.499984740745262"/>
        <name val="Calibri"/>
        <family val="2"/>
        <scheme val="minor"/>
      </font>
      <alignment horizontal="left" vertical="center" textRotation="0" wrapText="0" indent="1" justifyLastLine="0" shrinkToFit="0" readingOrder="0"/>
    </dxf>
    <dxf>
      <font>
        <b val="0"/>
        <i/>
        <strike val="0"/>
        <condense val="0"/>
        <extend val="0"/>
        <outline val="0"/>
        <shadow val="0"/>
        <u val="none"/>
        <vertAlign val="baseline"/>
        <sz val="11"/>
        <color theme="2" tint="-0.499984740745262"/>
        <name val="Calibri"/>
        <family val="2"/>
        <scheme val="minor"/>
      </font>
      <alignment horizontal="left" vertical="center" textRotation="0" wrapText="0" indent="1" justifyLastLine="0" shrinkToFit="0" readingOrder="0"/>
    </dxf>
    <dxf>
      <numFmt numFmtId="165" formatCode="_(* #,##0_);_(* \(#,##0\);_(* &quot;-&quot;??_);_(@_)"/>
      <alignment horizontal="general" vertical="center"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left" vertical="center" textRotation="0" wrapText="0" indent="1" justifyLastLine="0" shrinkToFit="0" readingOrder="0"/>
    </dxf>
    <dxf>
      <border outline="0">
        <bottom style="thin">
          <color indexed="64"/>
        </bottom>
      </border>
    </dxf>
    <dxf>
      <font>
        <b/>
        <i val="0"/>
        <strike val="0"/>
        <condense val="0"/>
        <extend val="0"/>
        <outline val="0"/>
        <shadow val="0"/>
        <u val="none"/>
        <vertAlign val="baseline"/>
        <sz val="11"/>
        <color theme="1"/>
        <name val="Calibri"/>
        <family val="2"/>
        <scheme val="minor"/>
      </font>
      <alignment horizontal="left" vertical="center" textRotation="0" wrapText="0" indent="1" justifyLastLine="0" shrinkToFit="0" readingOrder="0"/>
    </dxf>
    <dxf>
      <font>
        <b/>
        <i val="0"/>
        <strike val="0"/>
        <condense val="0"/>
        <extend val="0"/>
        <outline val="0"/>
        <shadow val="0"/>
        <u val="none"/>
        <vertAlign val="baseline"/>
        <sz val="11"/>
        <color theme="1"/>
        <name val="Calibri"/>
        <family val="2"/>
        <scheme val="minor"/>
      </font>
      <alignment horizontal="left" vertical="center" textRotation="0" wrapText="0" indent="1" justifyLastLine="0" shrinkToFit="0" readingOrder="0"/>
      <border outline="0">
        <left style="thin">
          <color rgb="FF7F7F7F"/>
        </left>
      </border>
    </dxf>
    <dxf>
      <numFmt numFmtId="166" formatCode="0.0%"/>
      <alignment horizontal="right" vertical="center" textRotation="0" wrapText="0" indent="1" justifyLastLine="0" shrinkToFit="0" readingOrder="0"/>
    </dxf>
    <dxf>
      <numFmt numFmtId="165" formatCode="_(* #,##0_);_(* \(#,##0\);_(* &quot;-&quot;??_);_(@_)"/>
      <alignment horizontal="center" vertical="center" textRotation="0" wrapText="0" indent="0" justifyLastLine="0" shrinkToFit="0" readingOrder="0"/>
      <border outline="0">
        <right style="thin">
          <color rgb="FF7F7F7F"/>
        </right>
      </border>
    </dxf>
    <dxf>
      <font>
        <b val="0"/>
        <i val="0"/>
        <strike val="0"/>
        <condense val="0"/>
        <extend val="0"/>
        <outline val="0"/>
        <shadow val="0"/>
        <u val="none"/>
        <vertAlign val="baseline"/>
        <sz val="11"/>
        <color auto="1"/>
        <name val="Calibri"/>
        <family val="2"/>
        <scheme val="minor"/>
      </font>
      <alignment horizontal="left" vertical="center" textRotation="0" wrapText="0" indent="1" justifyLastLine="0" shrinkToFit="0" readingOrder="0"/>
    </dxf>
    <dxf>
      <border outline="0">
        <bottom style="thin">
          <color indexed="64"/>
        </bottom>
      </border>
    </dxf>
    <dxf>
      <font>
        <b/>
        <i val="0"/>
        <strike val="0"/>
        <condense val="0"/>
        <extend val="0"/>
        <outline val="0"/>
        <shadow val="0"/>
        <u val="none"/>
        <vertAlign val="baseline"/>
        <sz val="11"/>
        <color theme="1"/>
        <name val="Calibri"/>
        <family val="2"/>
        <scheme val="minor"/>
      </font>
      <alignment horizontal="left" vertical="center" textRotation="0" wrapText="0" indent="1" justifyLastLine="0" shrinkToFit="0" readingOrder="0"/>
    </dxf>
    <dxf>
      <font>
        <b val="0"/>
        <i/>
        <strike val="0"/>
        <condense val="0"/>
        <extend val="0"/>
        <outline val="0"/>
        <shadow val="0"/>
        <u val="none"/>
        <vertAlign val="baseline"/>
        <sz val="11"/>
        <color theme="2" tint="-0.499984740745262"/>
        <name val="Calibri"/>
        <family val="2"/>
        <scheme val="minor"/>
      </font>
      <alignment horizontal="left" vertical="center" textRotation="0" wrapText="0" indent="1" justifyLastLine="0" shrinkToFit="0" readingOrder="0"/>
    </dxf>
    <dxf>
      <font>
        <b val="0"/>
        <i/>
        <strike val="0"/>
        <condense val="0"/>
        <extend val="0"/>
        <outline val="0"/>
        <shadow val="0"/>
        <u val="none"/>
        <vertAlign val="baseline"/>
        <sz val="11"/>
        <color theme="2" tint="-0.499984740745262"/>
        <name val="Calibri"/>
        <family val="2"/>
        <scheme val="minor"/>
      </font>
      <alignment horizontal="left" vertical="center" textRotation="0" wrapText="0" indent="1" justifyLastLine="0" shrinkToFit="0" readingOrder="0"/>
    </dxf>
    <dxf>
      <font>
        <b val="0"/>
        <i/>
        <strike val="0"/>
        <condense val="0"/>
        <extend val="0"/>
        <outline val="0"/>
        <shadow val="0"/>
        <u val="none"/>
        <vertAlign val="baseline"/>
        <sz val="11"/>
        <color theme="2" tint="-0.499984740745262"/>
        <name val="Calibri"/>
        <family val="2"/>
        <scheme val="minor"/>
      </font>
      <alignment horizontal="left" vertical="center" textRotation="0" wrapText="0" indent="1" justifyLastLine="0" shrinkToFit="0" readingOrder="0"/>
    </dxf>
    <dxf>
      <font>
        <b val="0"/>
        <i val="0"/>
        <strike val="0"/>
        <condense val="0"/>
        <extend val="0"/>
        <outline val="0"/>
        <shadow val="0"/>
        <u val="none"/>
        <vertAlign val="baseline"/>
        <sz val="11"/>
        <color auto="1"/>
        <name val="Calibri"/>
        <family val="2"/>
        <scheme val="minor"/>
      </font>
      <alignment horizontal="left" vertical="center" textRotation="0" wrapText="0" indent="1" justifyLastLine="0" shrinkToFit="0" readingOrder="0"/>
    </dxf>
    <dxf>
      <font>
        <b val="0"/>
        <i/>
        <strike val="0"/>
        <condense val="0"/>
        <extend val="0"/>
        <outline val="0"/>
        <shadow val="0"/>
        <u val="none"/>
        <vertAlign val="baseline"/>
        <sz val="11"/>
        <color theme="2" tint="-0.499984740745262"/>
        <name val="Calibri"/>
        <family val="2"/>
        <scheme val="minor"/>
      </font>
      <alignment horizontal="left" vertical="center" textRotation="0" wrapText="0" indent="1" justifyLastLine="0" shrinkToFit="0" readingOrder="0"/>
    </dxf>
    <dxf>
      <border outline="0">
        <bottom style="thin">
          <color indexed="64"/>
        </bottom>
      </border>
    </dxf>
    <dxf>
      <font>
        <b/>
        <i val="0"/>
        <strike val="0"/>
        <condense val="0"/>
        <extend val="0"/>
        <outline val="0"/>
        <shadow val="0"/>
        <u val="none"/>
        <vertAlign val="baseline"/>
        <sz val="11"/>
        <color theme="1"/>
        <name val="Calibri"/>
        <family val="2"/>
        <scheme val="minor"/>
      </font>
      <alignment horizontal="left" vertical="center" textRotation="0" wrapText="0" indent="1" justifyLastLine="0" shrinkToFit="0" readingOrder="0"/>
    </dxf>
    <dxf>
      <font>
        <b val="0"/>
        <i/>
        <strike val="0"/>
        <condense val="0"/>
        <extend val="0"/>
        <outline val="0"/>
        <shadow val="0"/>
        <u val="none"/>
        <vertAlign val="baseline"/>
        <sz val="11"/>
        <color theme="2" tint="-0.499984740745262"/>
        <name val="Calibri"/>
        <family val="2"/>
        <scheme val="minor"/>
      </font>
      <alignment horizontal="left" vertical="center" textRotation="0" wrapText="0" indent="1" justifyLastLine="0" shrinkToFit="0" readingOrder="0"/>
    </dxf>
    <dxf>
      <numFmt numFmtId="1" formatCode="0"/>
      <alignment horizontal="right" vertical="center" textRotation="0" wrapText="0" indent="1" justifyLastLine="0" shrinkToFit="0" readingOrder="0"/>
    </dxf>
    <dxf>
      <font>
        <b val="0"/>
        <i val="0"/>
        <strike val="0"/>
        <condense val="0"/>
        <extend val="0"/>
        <outline val="0"/>
        <shadow val="0"/>
        <u val="none"/>
        <vertAlign val="baseline"/>
        <sz val="11"/>
        <color auto="1"/>
        <name val="Calibri"/>
        <family val="2"/>
        <scheme val="minor"/>
      </font>
      <alignment horizontal="left" vertical="center" textRotation="0" wrapText="0" indent="1" justifyLastLine="0" shrinkToFit="0" readingOrder="0"/>
    </dxf>
    <dxf>
      <border outline="0">
        <bottom style="thin">
          <color indexed="64"/>
        </bottom>
      </border>
    </dxf>
    <dxf>
      <font>
        <b/>
        <i val="0"/>
        <strike val="0"/>
        <condense val="0"/>
        <extend val="0"/>
        <outline val="0"/>
        <shadow val="0"/>
        <u val="none"/>
        <vertAlign val="baseline"/>
        <sz val="11"/>
        <color theme="1"/>
        <name val="Calibri"/>
        <family val="2"/>
        <scheme val="minor"/>
      </font>
      <alignment horizontal="left" vertical="center" textRotation="0" wrapText="0" indent="1" justifyLastLine="0" shrinkToFit="0" readingOrder="0"/>
    </dxf>
    <dxf>
      <font>
        <b val="0"/>
        <i/>
        <strike val="0"/>
        <condense val="0"/>
        <extend val="0"/>
        <outline val="0"/>
        <shadow val="0"/>
        <u val="none"/>
        <vertAlign val="baseline"/>
        <sz val="11"/>
        <color theme="2" tint="-0.499984740745262"/>
        <name val="Calibri"/>
        <family val="2"/>
        <scheme val="minor"/>
      </font>
      <alignment horizontal="left" vertical="center" textRotation="0" wrapText="0" indent="1" justifyLastLine="0" shrinkToFit="0" readingOrder="0"/>
    </dxf>
    <dxf>
      <font>
        <b val="0"/>
        <i/>
        <strike val="0"/>
        <condense val="0"/>
        <extend val="0"/>
        <outline val="0"/>
        <shadow val="0"/>
        <u val="none"/>
        <vertAlign val="baseline"/>
        <sz val="11"/>
        <color theme="2" tint="-0.499984740745262"/>
        <name val="Calibri"/>
        <family val="2"/>
        <scheme val="minor"/>
      </font>
      <alignment horizontal="left" vertical="center" textRotation="0" wrapText="0" indent="1" justifyLastLine="0" shrinkToFit="0" readingOrder="0"/>
    </dxf>
    <dxf>
      <numFmt numFmtId="1" formatCode="0"/>
      <alignment horizontal="right" vertical="center" textRotation="0" wrapText="0" indent="1" justifyLastLine="0" shrinkToFit="0" readingOrder="0"/>
    </dxf>
    <dxf>
      <font>
        <b val="0"/>
        <i val="0"/>
        <strike val="0"/>
        <condense val="0"/>
        <extend val="0"/>
        <outline val="0"/>
        <shadow val="0"/>
        <u val="none"/>
        <vertAlign val="baseline"/>
        <sz val="11"/>
        <color auto="1"/>
        <name val="Calibri"/>
        <family val="2"/>
        <scheme val="minor"/>
      </font>
      <alignment horizontal="left" vertical="center" textRotation="0" wrapText="0" indent="1" justifyLastLine="0" shrinkToFit="0" readingOrder="0"/>
    </dxf>
    <dxf>
      <border outline="0">
        <bottom style="thin">
          <color indexed="64"/>
        </bottom>
      </border>
    </dxf>
    <dxf>
      <font>
        <b/>
        <i val="0"/>
        <strike val="0"/>
        <condense val="0"/>
        <extend val="0"/>
        <outline val="0"/>
        <shadow val="0"/>
        <u val="none"/>
        <vertAlign val="baseline"/>
        <sz val="11"/>
        <color theme="1"/>
        <name val="Calibri"/>
        <family val="2"/>
        <scheme val="minor"/>
      </font>
      <alignment horizontal="left" vertical="center" textRotation="0" wrapText="0" indent="1" justifyLastLine="0" shrinkToFit="0" readingOrder="0"/>
    </dxf>
    <dxf>
      <font>
        <b val="0"/>
        <i/>
        <strike val="0"/>
        <condense val="0"/>
        <extend val="0"/>
        <outline val="0"/>
        <shadow val="0"/>
        <u val="none"/>
        <vertAlign val="baseline"/>
        <sz val="11"/>
        <color theme="2" tint="-0.499984740745262"/>
        <name val="Calibri"/>
        <family val="2"/>
        <scheme val="minor"/>
      </font>
      <alignment horizontal="left" vertical="center" textRotation="0" wrapText="0" indent="1" justifyLastLine="0" shrinkToFit="0" readingOrder="0"/>
    </dxf>
    <dxf>
      <font>
        <b/>
        <i val="0"/>
        <strike val="0"/>
        <condense val="0"/>
        <extend val="0"/>
        <outline val="0"/>
        <shadow val="0"/>
        <u val="none"/>
        <vertAlign val="baseline"/>
        <sz val="11"/>
        <color rgb="FFFA7D00"/>
        <name val="Calibri"/>
        <family val="2"/>
        <scheme val="minor"/>
      </font>
      <numFmt numFmtId="165" formatCode="_(* #,##0_);_(* \(#,##0\);_(* &quot;-&quot;??_);_(@_)"/>
      <fill>
        <patternFill patternType="solid">
          <fgColor indexed="64"/>
          <bgColor rgb="FFF2F2F2"/>
        </patternFill>
      </fill>
      <alignment horizontal="general" vertical="center" textRotation="0" wrapText="0" indent="0" justifyLastLine="0" shrinkToFit="0" readingOrder="0"/>
      <border diagonalUp="0" diagonalDown="0">
        <left style="thin">
          <color rgb="FF7F7F7F"/>
        </left>
        <right style="thin">
          <color rgb="FF7F7F7F"/>
        </right>
        <top style="thin">
          <color rgb="FF7F7F7F"/>
        </top>
        <bottom style="thin">
          <color rgb="FF7F7F7F"/>
        </bottom>
        <vertical/>
        <horizontal/>
      </border>
    </dxf>
    <dxf>
      <numFmt numFmtId="2" formatCode="0.00"/>
      <alignment horizontal="right" vertical="center" textRotation="0" wrapText="0" indent="1" justifyLastLine="0" shrinkToFit="0" readingOrder="0"/>
    </dxf>
    <dxf>
      <font>
        <b val="0"/>
        <i val="0"/>
        <strike val="0"/>
        <condense val="0"/>
        <extend val="0"/>
        <outline val="0"/>
        <shadow val="0"/>
        <u val="none"/>
        <vertAlign val="baseline"/>
        <sz val="11"/>
        <color auto="1"/>
        <name val="Calibri"/>
        <family val="2"/>
        <scheme val="minor"/>
      </font>
      <alignment horizontal="left" vertical="center" textRotation="0" wrapText="0" indent="1" justifyLastLine="0" shrinkToFit="0" readingOrder="0"/>
    </dxf>
    <dxf>
      <border outline="0">
        <bottom style="thin">
          <color indexed="64"/>
        </bottom>
      </border>
    </dxf>
    <dxf>
      <font>
        <b/>
        <i val="0"/>
        <strike val="0"/>
        <condense val="0"/>
        <extend val="0"/>
        <outline val="0"/>
        <shadow val="0"/>
        <u val="none"/>
        <vertAlign val="baseline"/>
        <sz val="11"/>
        <color theme="1"/>
        <name val="Calibri"/>
        <family val="2"/>
        <scheme val="minor"/>
      </font>
      <alignment horizontal="left" vertical="center" textRotation="0" wrapText="0" indent="1" justifyLastLine="0" shrinkToFit="0" readingOrder="0"/>
    </dxf>
    <dxf>
      <font>
        <b val="0"/>
        <i/>
        <strike val="0"/>
        <condense val="0"/>
        <extend val="0"/>
        <outline val="0"/>
        <shadow val="0"/>
        <u val="none"/>
        <vertAlign val="baseline"/>
        <sz val="11"/>
        <color theme="2" tint="-0.499984740745262"/>
        <name val="Calibri"/>
        <family val="2"/>
        <scheme val="minor"/>
      </font>
      <alignment horizontal="left" vertical="center" textRotation="0" wrapText="0" indent="1" justifyLastLine="0" shrinkToFit="0" readingOrder="0"/>
    </dxf>
    <dxf>
      <font>
        <b/>
        <i val="0"/>
        <strike val="0"/>
        <condense val="0"/>
        <extend val="0"/>
        <outline val="0"/>
        <shadow val="0"/>
        <u val="none"/>
        <vertAlign val="baseline"/>
        <sz val="11"/>
        <color rgb="FFFA7D00"/>
        <name val="Calibri"/>
        <family val="2"/>
        <scheme val="minor"/>
      </font>
      <numFmt numFmtId="5" formatCode="#,##0_);\(#,##0\)"/>
      <fill>
        <patternFill patternType="solid">
          <fgColor indexed="64"/>
          <bgColor rgb="FFF2F2F2"/>
        </patternFill>
      </fill>
      <alignment horizontal="general" vertical="center" textRotation="0" wrapText="0" indent="0" justifyLastLine="0" shrinkToFit="0" readingOrder="0"/>
      <border diagonalUp="0" diagonalDown="0" outline="0">
        <left style="thin">
          <color rgb="FF7F7F7F"/>
        </left>
        <right style="thin">
          <color rgb="FF7F7F7F"/>
        </right>
        <top style="thin">
          <color indexed="64"/>
        </top>
        <bottom style="thin">
          <color indexed="64"/>
        </bottom>
      </border>
    </dxf>
    <dxf>
      <numFmt numFmtId="5" formatCode="#,##0_);\(#,##0\)"/>
    </dxf>
    <dxf>
      <numFmt numFmtId="7" formatCode="#,##0.00_);\(#,##0.00\)"/>
      <alignment horizontal="general" vertical="center" textRotation="0" wrapText="0" indent="0" justifyLastLine="0" shrinkToFit="0" readingOrder="0"/>
      <border diagonalUp="0" diagonalDown="0" outline="0">
        <left style="thin">
          <color rgb="FF7F7F7F"/>
        </left>
        <right style="thin">
          <color rgb="FF7F7F7F"/>
        </right>
        <top style="thin">
          <color indexed="64"/>
        </top>
        <bottom style="thin">
          <color indexed="64"/>
        </bottom>
      </border>
    </dxf>
    <dxf>
      <numFmt numFmtId="7" formatCode="#,##0.00_);\(#,##0.00\)"/>
      <alignment horizontal="general" vertical="center" textRotation="0" wrapText="0" indent="0" justifyLastLine="0" shrinkToFit="0" readingOrder="0"/>
    </dxf>
    <dxf>
      <alignment horizontal="left" vertical="center" textRotation="0" wrapText="0" indent="1" justifyLastLine="0" shrinkToFit="0" readingOrder="0"/>
      <border diagonalUp="0" diagonalDown="0" outline="0">
        <left/>
        <right style="thin">
          <color rgb="FF7F7F7F"/>
        </right>
        <top/>
        <bottom/>
      </border>
    </dxf>
    <dxf>
      <border outline="0">
        <bottom style="thin">
          <color indexed="64"/>
        </bottom>
      </border>
    </dxf>
    <dxf>
      <alignment vertical="center" textRotation="0" wrapText="0" indent="0" justifyLastLine="0" shrinkToFit="0" readingOrder="0"/>
    </dxf>
    <dxf>
      <font>
        <b val="0"/>
        <i/>
        <strike val="0"/>
        <condense val="0"/>
        <extend val="0"/>
        <outline val="0"/>
        <shadow val="0"/>
        <u val="none"/>
        <vertAlign val="baseline"/>
        <sz val="11"/>
        <color theme="2" tint="-0.499984740745262"/>
        <name val="Calibri"/>
        <family val="2"/>
        <scheme val="minor"/>
      </font>
      <alignment horizontal="left" vertical="center" textRotation="0" wrapText="0" indent="1" justifyLastLine="0" shrinkToFit="0" readingOrder="0"/>
    </dxf>
    <dxf>
      <font>
        <i/>
        <color theme="2" tint="-0.499984740745262"/>
      </font>
      <numFmt numFmtId="165" formatCode="_(* #,##0_);_(* \(#,##0\);_(* &quot;-&quot;??_);_(@_)"/>
      <alignment horizontal="left" vertical="center" textRotation="0" wrapText="0" indent="1" justifyLastLine="0" shrinkToFit="0" readingOrder="0"/>
      <border outline="0">
        <left style="thin">
          <color theme="5" tint="-0.24994659260841701"/>
        </left>
      </border>
    </dxf>
    <dxf>
      <font>
        <b/>
        <strike val="0"/>
        <outline val="0"/>
        <shadow val="0"/>
        <u val="none"/>
        <vertAlign val="baseline"/>
        <sz val="11"/>
        <color rgb="FF002060"/>
        <name val="Calibri"/>
        <family val="2"/>
        <scheme val="minor"/>
      </font>
      <numFmt numFmtId="1" formatCode="0"/>
      <fill>
        <patternFill patternType="lightUp">
          <fgColor theme="5"/>
          <bgColor theme="5" tint="0.39991454817346722"/>
        </patternFill>
      </fill>
      <alignment horizontal="right" vertical="center" textRotation="0" wrapText="0" indent="1" justifyLastLine="0" shrinkToFit="0" readingOrder="0"/>
      <border diagonalUp="0" diagonalDown="0">
        <left style="thin">
          <color theme="5" tint="-0.24994659260841701"/>
        </left>
        <right style="thin">
          <color theme="5" tint="-0.24994659260841701"/>
        </right>
        <top style="thin">
          <color theme="5" tint="-0.24994659260841701"/>
        </top>
        <bottom style="thin">
          <color theme="5" tint="-0.24994659260841701"/>
        </bottom>
      </border>
      <protection locked="0" hidden="0"/>
    </dxf>
    <dxf>
      <alignment horizontal="left" vertical="center" textRotation="0" wrapText="0" indent="1" justifyLastLine="0" shrinkToFit="0" readingOrder="0"/>
      <border outline="0">
        <right style="thin">
          <color theme="5" tint="-0.24994659260841701"/>
        </right>
      </border>
    </dxf>
    <dxf>
      <border outline="0">
        <bottom style="thin">
          <color indexed="64"/>
        </bottom>
      </border>
    </dxf>
    <dxf>
      <alignment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5" formatCode="_(* #,##0_);_(* \(#,##0\);_(* &quot;-&quot;??_);_(@_)"/>
      <alignment vertical="center" textRotation="0" wrapText="0" indent="0" justifyLastLine="0" shrinkToFit="0" readingOrder="0"/>
    </dxf>
    <dxf>
      <font>
        <b/>
      </font>
      <fill>
        <patternFill patternType="solid">
          <fgColor indexed="64"/>
          <bgColor theme="5" tint="0.39997558519241921"/>
        </patternFill>
      </fill>
      <alignment horizontal="right" vertical="center" textRotation="0" wrapText="0" indent="1" justifyLastLine="0" shrinkToFit="0" readingOrder="0"/>
      <border diagonalUp="0" diagonalDown="0" outline="0">
        <left style="thin">
          <color theme="5" tint="-0.24994659260841701"/>
        </left>
        <right style="thin">
          <color theme="5" tint="-0.24994659260841701"/>
        </right>
        <top/>
        <bottom/>
      </border>
    </dxf>
    <dxf>
      <font>
        <b val="0"/>
        <strike val="0"/>
        <outline val="0"/>
        <shadow val="0"/>
        <u val="none"/>
        <vertAlign val="baseline"/>
        <sz val="11"/>
        <color auto="1"/>
        <name val="Calibri"/>
        <family val="2"/>
        <scheme val="minor"/>
      </font>
      <alignment horizontal="left" vertical="center" textRotation="0" wrapText="0" relativeIndent="1" justifyLastLine="0" shrinkToFit="0" readingOrder="0"/>
    </dxf>
    <dxf>
      <alignment vertical="center" textRotation="0" wrapText="0" indent="0" justifyLastLine="0" shrinkToFit="0" readingOrder="0"/>
    </dxf>
    <dxf>
      <border outline="0">
        <bottom style="thin">
          <color indexed="64"/>
        </bottom>
      </border>
    </dxf>
    <dxf>
      <font>
        <b/>
        <i/>
        <color rgb="FFC00000"/>
      </font>
    </dxf>
    <dxf>
      <fill>
        <patternFill patternType="none">
          <fgColor indexed="64"/>
          <bgColor indexed="65"/>
        </patternFill>
      </fill>
      <alignment horizontal="left" vertical="bottom" textRotation="0" wrapText="0" indent="1" justifyLastLine="0" shrinkToFit="0" readingOrder="0"/>
    </dxf>
    <dxf>
      <border outline="0">
        <bottom style="thin">
          <color indexed="64"/>
        </bottom>
      </border>
    </dxf>
    <dxf>
      <alignment vertical="center" textRotation="0" wrapText="0" indent="0" justifyLastLine="0" shrinkToFit="0" readingOrder="0"/>
    </dxf>
    <dxf>
      <alignment horizontal="left" vertical="bottom" textRotation="0" wrapText="0" indent="1" justifyLastLine="0" shrinkToFit="0" readingOrder="0"/>
    </dxf>
    <dxf>
      <border outline="0">
        <bottom style="thin">
          <color indexed="64"/>
        </bottom>
      </border>
    </dxf>
    <dxf>
      <alignment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Summary</a:t>
            </a:r>
            <a:r>
              <a:rPr lang="en-US" b="1" baseline="0"/>
              <a:t> of Open Space (Acres)</a:t>
            </a:r>
            <a:endParaRPr lang="en-US" b="1"/>
          </a:p>
        </c:rich>
      </c:tx>
      <c:overlay val="0"/>
      <c:spPr>
        <a:noFill/>
        <a:ln>
          <a:noFill/>
        </a:ln>
        <a:effectLst/>
      </c:spPr>
    </c:title>
    <c:autoTitleDeleted val="0"/>
    <c:plotArea>
      <c:layout>
        <c:manualLayout>
          <c:layoutTarget val="inner"/>
          <c:xMode val="edge"/>
          <c:yMode val="edge"/>
          <c:x val="0.10014836569866066"/>
          <c:y val="0.27594952668230177"/>
          <c:w val="0.41813842401532608"/>
          <c:h val="0.58709263679573498"/>
        </c:manualLayout>
      </c:layout>
      <c:pieChart>
        <c:varyColors val="1"/>
        <c:ser>
          <c:idx val="0"/>
          <c:order val="0"/>
          <c:spPr>
            <a:ln w="6350"/>
            <a:effectLst>
              <a:outerShdw blurRad="50800" dist="38100" dir="2700000" algn="tl" rotWithShape="0">
                <a:prstClr val="black">
                  <a:alpha val="40000"/>
                </a:prstClr>
              </a:outerShdw>
            </a:effectLst>
          </c:spPr>
          <c:dPt>
            <c:idx val="0"/>
            <c:bubble3D val="0"/>
            <c:spPr>
              <a:solidFill>
                <a:schemeClr val="bg1">
                  <a:lumMod val="65000"/>
                </a:schemeClr>
              </a:solidFill>
              <a:ln w="6350">
                <a:solidFill>
                  <a:schemeClr val="lt1"/>
                </a:solid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9-9005-4800-B557-4286AD7120FF}"/>
              </c:ext>
            </c:extLst>
          </c:dPt>
          <c:dPt>
            <c:idx val="1"/>
            <c:bubble3D val="0"/>
            <c:spPr>
              <a:pattFill prst="pct90">
                <a:fgClr>
                  <a:schemeClr val="accent6">
                    <a:lumMod val="75000"/>
                  </a:schemeClr>
                </a:fgClr>
                <a:bgClr>
                  <a:schemeClr val="bg1"/>
                </a:bgClr>
              </a:pattFill>
              <a:ln w="6350">
                <a:solidFill>
                  <a:schemeClr val="lt1"/>
                </a:solid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8-9005-4800-B557-4286AD7120FF}"/>
              </c:ext>
            </c:extLst>
          </c:dPt>
          <c:dLbls>
            <c:dLbl>
              <c:idx val="1"/>
              <c:numFmt formatCode="#,##0.00" sourceLinked="0"/>
              <c:spPr>
                <a:noFill/>
                <a:ln>
                  <a:noFill/>
                </a:ln>
                <a:effectLst/>
              </c:spPr>
              <c:txPr>
                <a:bodyPr rot="0" spcFirstLastPara="1" vertOverflow="ellipsis" vert="horz" wrap="square" lIns="38100" tIns="19050" rIns="38100" bIns="19050" anchor="ctr" anchorCtr="1">
                  <a:noAutofit/>
                </a:bodyPr>
                <a:lstStyle/>
                <a:p>
                  <a:pPr>
                    <a:defRPr sz="1050" b="1" i="0" u="none" strike="noStrike" kern="1200" baseline="0">
                      <a:solidFill>
                        <a:sysClr val="windowText" lastClr="000000"/>
                      </a:solidFill>
                      <a:effectLst>
                        <a:glow rad="127000">
                          <a:schemeClr val="bg1">
                            <a:alpha val="40000"/>
                          </a:schemeClr>
                        </a:glow>
                      </a:effectLst>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8-9005-4800-B557-4286AD7120FF}"/>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ysClr val="windowText" lastClr="000000"/>
                    </a:solidFill>
                    <a:effectLst>
                      <a:glow rad="127000">
                        <a:schemeClr val="bg1">
                          <a:alpha val="40000"/>
                        </a:schemeClr>
                      </a:glow>
                    </a:effectLst>
                    <a:latin typeface="+mn-lt"/>
                    <a:ea typeface="+mn-ea"/>
                    <a:cs typeface="+mn-cs"/>
                  </a:defRPr>
                </a:pPr>
                <a:endParaRPr lang="en-US"/>
              </a:p>
            </c:txPr>
            <c:dLblPos val="ct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'O.S. Analysis'!$A$48:$A$49</c:f>
              <c:strCache>
                <c:ptCount val="2"/>
                <c:pt idx="0">
                  <c:v>■  Total, Non-qualified O.S.</c:v>
                </c:pt>
                <c:pt idx="1">
                  <c:v>■  Total, Qualified O.S.</c:v>
                </c:pt>
              </c:strCache>
            </c:strRef>
          </c:cat>
          <c:val>
            <c:numRef>
              <c:f>'O.S. Analysis'!$B$48:$B$49</c:f>
              <c:numCache>
                <c:formatCode>_(* #,##0.00_);_(* \(#,##0.00\);_(* "-"??_);_(@_)</c:formatCode>
                <c:ptCount val="2"/>
                <c:pt idx="0">
                  <c:v>0</c:v>
                </c:pt>
                <c:pt idx="1">
                  <c:v>0</c:v>
                </c:pt>
              </c:numCache>
            </c:numRef>
          </c:val>
          <c:extLst>
            <c:ext xmlns:c16="http://schemas.microsoft.com/office/drawing/2014/chart" uri="{C3380CC4-5D6E-409C-BE32-E72D297353CC}">
              <c16:uniqueId val="{00000000-9005-4800-B557-4286AD7120FF}"/>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8300157817893339"/>
          <c:y val="0.37012296970122116"/>
          <c:w val="0.33903010445841919"/>
          <c:h val="0.31700469259524378"/>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Summary of Open Space (Acres)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6924523857594723"/>
          <c:y val="0.22979797979797981"/>
          <c:w val="0.78374621441550574"/>
          <c:h val="0.57420901932712964"/>
        </c:manualLayout>
      </c:layout>
      <c:barChart>
        <c:barDir val="col"/>
        <c:grouping val="clustered"/>
        <c:varyColors val="0"/>
        <c:ser>
          <c:idx val="0"/>
          <c:order val="0"/>
          <c:spPr>
            <a:solidFill>
              <a:schemeClr val="accent1"/>
            </a:solidFill>
            <a:ln w="6350">
              <a:solidFill>
                <a:schemeClr val="lt1"/>
              </a:solidFill>
            </a:ln>
            <a:effectLst>
              <a:outerShdw blurRad="50800" dist="38100" dir="2700000" algn="tl" rotWithShape="0">
                <a:prstClr val="black">
                  <a:alpha val="40000"/>
                </a:prstClr>
              </a:outerShdw>
            </a:effectLst>
          </c:spPr>
          <c:invertIfNegative val="0"/>
          <c:dPt>
            <c:idx val="0"/>
            <c:invertIfNegative val="0"/>
            <c:bubble3D val="0"/>
            <c:spPr>
              <a:solidFill>
                <a:schemeClr val="bg1">
                  <a:lumMod val="65000"/>
                </a:schemeClr>
              </a:solidFill>
              <a:ln w="6350">
                <a:solidFill>
                  <a:schemeClr val="lt1"/>
                </a:solid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1-5248-4644-8DAC-CA3702A1D36F}"/>
              </c:ext>
            </c:extLst>
          </c:dPt>
          <c:dPt>
            <c:idx val="1"/>
            <c:invertIfNegative val="0"/>
            <c:bubble3D val="0"/>
            <c:spPr>
              <a:pattFill prst="pct90">
                <a:fgClr>
                  <a:schemeClr val="accent6">
                    <a:lumMod val="75000"/>
                  </a:schemeClr>
                </a:fgClr>
                <a:bgClr>
                  <a:schemeClr val="bg1"/>
                </a:bgClr>
              </a:pattFill>
              <a:ln w="6350">
                <a:solidFill>
                  <a:schemeClr val="lt1"/>
                </a:solid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3-5248-4644-8DAC-CA3702A1D36F}"/>
              </c:ext>
            </c:extLst>
          </c:dPt>
          <c:dPt>
            <c:idx val="2"/>
            <c:invertIfNegative val="0"/>
            <c:bubble3D val="0"/>
            <c:spPr>
              <a:pattFill prst="wdUpDiag">
                <a:fgClr>
                  <a:schemeClr val="bg1"/>
                </a:fgClr>
                <a:bgClr>
                  <a:schemeClr val="accent2"/>
                </a:bgClr>
              </a:pattFill>
              <a:ln w="6350">
                <a:solidFill>
                  <a:schemeClr val="lt1"/>
                </a:solid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5-5248-4644-8DAC-CA3702A1D36F}"/>
              </c:ext>
            </c:extLst>
          </c:dPt>
          <c:cat>
            <c:strRef>
              <c:f>'O.S. Analysis'!$A$48:$A$50</c:f>
              <c:strCache>
                <c:ptCount val="3"/>
                <c:pt idx="0">
                  <c:v>■  Total, Non-qualified O.S.</c:v>
                </c:pt>
                <c:pt idx="1">
                  <c:v>■  Total, Qualified O.S.</c:v>
                </c:pt>
                <c:pt idx="2">
                  <c:v>Total, Usable O.S.</c:v>
                </c:pt>
              </c:strCache>
            </c:strRef>
          </c:cat>
          <c:val>
            <c:numRef>
              <c:f>'O.S. Analysis'!$B$48:$B$50</c:f>
              <c:numCache>
                <c:formatCode>_(* #,##0.00_);_(* \(#,##0.00\);_(* "-"??_);_(@_)</c:formatCode>
                <c:ptCount val="3"/>
                <c:pt idx="0">
                  <c:v>0</c:v>
                </c:pt>
                <c:pt idx="1">
                  <c:v>0</c:v>
                </c:pt>
                <c:pt idx="2">
                  <c:v>0</c:v>
                </c:pt>
              </c:numCache>
            </c:numRef>
          </c:val>
          <c:extLst>
            <c:ext xmlns:c16="http://schemas.microsoft.com/office/drawing/2014/chart" uri="{C3380CC4-5D6E-409C-BE32-E72D297353CC}">
              <c16:uniqueId val="{00000004-5248-4644-8DAC-CA3702A1D36F}"/>
            </c:ext>
          </c:extLst>
        </c:ser>
        <c:dLbls>
          <c:showLegendKey val="0"/>
          <c:showVal val="0"/>
          <c:showCatName val="0"/>
          <c:showSerName val="0"/>
          <c:showPercent val="0"/>
          <c:showBubbleSize val="0"/>
        </c:dLbls>
        <c:gapWidth val="100"/>
        <c:axId val="1371901232"/>
        <c:axId val="1637131472"/>
      </c:barChart>
      <c:catAx>
        <c:axId val="1371901232"/>
        <c:scaling>
          <c:orientation val="minMax"/>
        </c:scaling>
        <c:delete val="0"/>
        <c:axPos val="b"/>
        <c:numFmt formatCode="General" sourceLinked="1"/>
        <c:majorTickMark val="out"/>
        <c:minorTickMark val="none"/>
        <c:tickLblPos val="nextTo"/>
        <c:spPr>
          <a:noFill/>
          <a:ln w="9525" cap="flat" cmpd="sng" algn="ctr">
            <a:solidFill>
              <a:schemeClr val="tx1">
                <a:lumMod val="50000"/>
                <a:lumOff val="50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1637131472"/>
        <c:crosses val="autoZero"/>
        <c:auto val="1"/>
        <c:lblAlgn val="ctr"/>
        <c:lblOffset val="100"/>
        <c:noMultiLvlLbl val="0"/>
      </c:catAx>
      <c:valAx>
        <c:axId val="1637131472"/>
        <c:scaling>
          <c:orientation val="minMax"/>
        </c:scaling>
        <c:delete val="0"/>
        <c:axPos val="l"/>
        <c:majorGridlines>
          <c:spPr>
            <a:ln w="9525" cap="flat" cmpd="sng" algn="ctr">
              <a:solidFill>
                <a:schemeClr val="tx1">
                  <a:lumMod val="15000"/>
                  <a:lumOff val="85000"/>
                </a:schemeClr>
              </a:solidFill>
              <a:round/>
            </a:ln>
            <a:effectLst/>
          </c:spPr>
        </c:majorGridlines>
        <c:numFmt formatCode="_(* #,##0.00_);_(* \(#,##0.00\);_(* &quot;-&quot;??_);_(@_)" sourceLinked="1"/>
        <c:majorTickMark val="out"/>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137190123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baseline="0">
                <a:solidFill>
                  <a:schemeClr val="tx1">
                    <a:lumMod val="65000"/>
                    <a:lumOff val="35000"/>
                  </a:schemeClr>
                </a:solidFill>
                <a:latin typeface="+mj-lt"/>
                <a:ea typeface="+mj-ea"/>
                <a:cs typeface="+mj-cs"/>
              </a:defRPr>
            </a:pPr>
            <a:r>
              <a:rPr lang="en-US" sz="1400" b="1" i="0" u="none" strike="noStrike" baseline="0">
                <a:solidFill>
                  <a:sysClr val="windowText" lastClr="000000">
                    <a:lumMod val="65000"/>
                    <a:lumOff val="35000"/>
                  </a:sysClr>
                </a:solidFill>
                <a:latin typeface="Calibri Light" panose="020F0302020204030204"/>
              </a:rPr>
              <a:t>Open Space Per 10 Units (SQFT)</a:t>
            </a:r>
          </a:p>
        </c:rich>
      </c:tx>
      <c:overlay val="0"/>
      <c:spPr>
        <a:noFill/>
        <a:ln>
          <a:noFill/>
        </a:ln>
        <a:effectLst/>
      </c:spPr>
      <c:txPr>
        <a:bodyPr rot="0" spcFirstLastPara="1" vertOverflow="ellipsis" vert="horz" wrap="square" anchor="ctr" anchorCtr="1"/>
        <a:lstStyle/>
        <a:p>
          <a:pPr>
            <a:defRPr sz="1400" b="1" i="0" u="none" strike="noStrike" baseline="0">
              <a:solidFill>
                <a:schemeClr val="tx1">
                  <a:lumMod val="65000"/>
                  <a:lumOff val="35000"/>
                </a:schemeClr>
              </a:solidFill>
              <a:latin typeface="+mj-lt"/>
              <a:ea typeface="+mj-ea"/>
              <a:cs typeface="+mj-cs"/>
            </a:defRPr>
          </a:pPr>
          <a:endParaRPr lang="en-US"/>
        </a:p>
      </c:txPr>
    </c:title>
    <c:autoTitleDeleted val="0"/>
    <c:plotArea>
      <c:layout>
        <c:manualLayout>
          <c:layoutTarget val="inner"/>
          <c:xMode val="edge"/>
          <c:yMode val="edge"/>
          <c:x val="0.49410648265740975"/>
          <c:y val="0.23782828282828286"/>
          <c:w val="0.43420892952897017"/>
          <c:h val="0.70661616161616159"/>
        </c:manualLayout>
      </c:layout>
      <c:barChart>
        <c:barDir val="bar"/>
        <c:grouping val="clustered"/>
        <c:varyColors val="0"/>
        <c:ser>
          <c:idx val="0"/>
          <c:order val="0"/>
          <c:spPr>
            <a:pattFill prst="pct90">
              <a:fgClr>
                <a:schemeClr val="accent6">
                  <a:lumMod val="75000"/>
                </a:schemeClr>
              </a:fgClr>
              <a:bgClr>
                <a:schemeClr val="bg1"/>
              </a:bgClr>
            </a:pattFill>
            <a:ln w="12700">
              <a:solidFill>
                <a:schemeClr val="bg1"/>
              </a:solidFill>
            </a:ln>
            <a:effectLst>
              <a:outerShdw blurRad="50800" dist="38100" dir="2700000" algn="tl" rotWithShape="0">
                <a:prstClr val="black">
                  <a:alpha val="4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a:noFill/>
                    </a:ln>
                    <a:effectLst/>
                  </c:spPr>
                </c15:leaderLines>
              </c:ext>
            </c:extLst>
          </c:dLbls>
          <c:cat>
            <c:strRef>
              <c:f>'O.S. Analysis'!$A$88:$A$90</c:f>
              <c:strCache>
                <c:ptCount val="3"/>
                <c:pt idx="0">
                  <c:v>Average O.S. Per 20 Units, Total</c:v>
                </c:pt>
                <c:pt idx="1">
                  <c:v>Average O.S. Per 20 Units, Qualified</c:v>
                </c:pt>
                <c:pt idx="2">
                  <c:v>Average O.S. Per 20 Units, Usable</c:v>
                </c:pt>
              </c:strCache>
            </c:strRef>
          </c:cat>
          <c:val>
            <c:numRef>
              <c:f>'O.S. Analysis'!$B$88:$B$90</c:f>
              <c:numCache>
                <c:formatCode>_(* #,##0_);_(* \(#,##0\);_(* "-"??_);_(@_)</c:formatCode>
                <c:ptCount val="3"/>
                <c:pt idx="0">
                  <c:v>0</c:v>
                </c:pt>
                <c:pt idx="1">
                  <c:v>0</c:v>
                </c:pt>
                <c:pt idx="2">
                  <c:v>0</c:v>
                </c:pt>
              </c:numCache>
            </c:numRef>
          </c:val>
          <c:extLst>
            <c:ext xmlns:c16="http://schemas.microsoft.com/office/drawing/2014/chart" uri="{C3380CC4-5D6E-409C-BE32-E72D297353CC}">
              <c16:uniqueId val="{00000000-F7C5-4EC5-B030-B2CCB51CE53C}"/>
            </c:ext>
          </c:extLst>
        </c:ser>
        <c:dLbls>
          <c:showLegendKey val="0"/>
          <c:showVal val="0"/>
          <c:showCatName val="0"/>
          <c:showSerName val="0"/>
          <c:showPercent val="0"/>
          <c:showBubbleSize val="0"/>
        </c:dLbls>
        <c:gapWidth val="15"/>
        <c:axId val="407231663"/>
        <c:axId val="1188055999"/>
      </c:barChart>
      <c:catAx>
        <c:axId val="407231663"/>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baseline="0">
                <a:solidFill>
                  <a:schemeClr val="tx1">
                    <a:lumMod val="65000"/>
                    <a:lumOff val="35000"/>
                  </a:schemeClr>
                </a:solidFill>
                <a:latin typeface="+mn-lt"/>
                <a:ea typeface="+mn-ea"/>
                <a:cs typeface="+mn-cs"/>
              </a:defRPr>
            </a:pPr>
            <a:endParaRPr lang="en-US"/>
          </a:p>
        </c:txPr>
        <c:crossAx val="1188055999"/>
        <c:crosses val="autoZero"/>
        <c:auto val="1"/>
        <c:lblAlgn val="ctr"/>
        <c:lblOffset val="100"/>
        <c:noMultiLvlLbl val="0"/>
      </c:catAx>
      <c:valAx>
        <c:axId val="1188055999"/>
        <c:scaling>
          <c:orientation val="minMax"/>
        </c:scaling>
        <c:delete val="1"/>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crossAx val="40723166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Summary</a:t>
            </a:r>
            <a:r>
              <a:rPr lang="en-US" b="1" baseline="0"/>
              <a:t> of Open Space (Acres)</a:t>
            </a:r>
            <a:endParaRPr lang="en-US" b="1"/>
          </a:p>
        </c:rich>
      </c:tx>
      <c:overlay val="0"/>
      <c:spPr>
        <a:noFill/>
        <a:ln>
          <a:noFill/>
        </a:ln>
        <a:effectLst/>
      </c:spPr>
    </c:title>
    <c:autoTitleDeleted val="0"/>
    <c:plotArea>
      <c:layout>
        <c:manualLayout>
          <c:layoutTarget val="inner"/>
          <c:xMode val="edge"/>
          <c:yMode val="edge"/>
          <c:x val="8.6725501594179924E-2"/>
          <c:y val="0.37390519366897318"/>
          <c:w val="0.41813842401532608"/>
          <c:h val="0.58709263679573498"/>
        </c:manualLayout>
      </c:layout>
      <c:pieChart>
        <c:varyColors val="1"/>
        <c:ser>
          <c:idx val="0"/>
          <c:order val="0"/>
          <c:spPr>
            <a:ln w="12700">
              <a:solidFill>
                <a:schemeClr val="bg1"/>
              </a:solidFill>
            </a:ln>
            <a:effectLst>
              <a:outerShdw blurRad="50800" dist="38100" dir="2700000" algn="tl" rotWithShape="0">
                <a:prstClr val="black">
                  <a:alpha val="40000"/>
                </a:prstClr>
              </a:outerShdw>
            </a:effectLst>
          </c:spPr>
          <c:dPt>
            <c:idx val="0"/>
            <c:bubble3D val="0"/>
            <c:spPr>
              <a:pattFill prst="pct90">
                <a:fgClr>
                  <a:schemeClr val="accent6">
                    <a:lumMod val="75000"/>
                  </a:schemeClr>
                </a:fgClr>
                <a:bgClr>
                  <a:schemeClr val="bg1"/>
                </a:bgClr>
              </a:pattFill>
              <a:ln w="12700">
                <a:solidFill>
                  <a:schemeClr val="bg1"/>
                </a:solid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1-280B-4FB8-B7E9-00B60E6C8D6D}"/>
              </c:ext>
            </c:extLst>
          </c:dPt>
          <c:dPt>
            <c:idx val="1"/>
            <c:bubble3D val="0"/>
            <c:spPr>
              <a:solidFill>
                <a:schemeClr val="bg1">
                  <a:lumMod val="65000"/>
                </a:schemeClr>
              </a:solidFill>
              <a:ln w="12700">
                <a:solidFill>
                  <a:schemeClr val="bg1"/>
                </a:solid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3-280B-4FB8-B7E9-00B60E6C8D6D}"/>
              </c:ext>
            </c:extLst>
          </c:dPt>
          <c:dLbls>
            <c:dLbl>
              <c:idx val="0"/>
              <c:layout>
                <c:manualLayout>
                  <c:x val="6.9664781835156514E-3"/>
                  <c:y val="-1.8235504652827486E-2"/>
                </c:manualLayout>
              </c:layout>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80B-4FB8-B7E9-00B60E6C8D6D}"/>
                </c:ext>
              </c:extLst>
            </c:dLbl>
            <c:dLbl>
              <c:idx val="1"/>
              <c:layout>
                <c:manualLayout>
                  <c:x val="0.12217407387834908"/>
                  <c:y val="-0.16666666666666677"/>
                </c:manualLayout>
              </c:layout>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80B-4FB8-B7E9-00B60E6C8D6D}"/>
                </c:ext>
              </c:extLst>
            </c:dLbl>
            <c:spPr>
              <a:noFill/>
              <a:ln>
                <a:noFill/>
              </a:ln>
              <a:effectLst/>
            </c:spPr>
            <c:txPr>
              <a:bodyPr wrap="square" lIns="38100" tIns="19050" rIns="38100" bIns="19050" anchor="ctr" anchorCtr="0">
                <a:spAutoFit/>
              </a:bodyPr>
              <a:lstStyle/>
              <a:p>
                <a:pPr algn="ctr">
                  <a:defRPr lang="en-US" sz="1050" b="1" i="0" u="none" strike="noStrike" kern="1200" baseline="0">
                    <a:solidFill>
                      <a:sysClr val="windowText" lastClr="000000"/>
                    </a:solidFill>
                    <a:effectLst>
                      <a:glow rad="127000">
                        <a:schemeClr val="bg1">
                          <a:alpha val="40000"/>
                        </a:schemeClr>
                      </a:glow>
                    </a:effectLst>
                    <a:latin typeface="+mn-lt"/>
                    <a:ea typeface="+mn-ea"/>
                    <a:cs typeface="+mn-cs"/>
                  </a:defRPr>
                </a:pPr>
                <a:endParaRPr lang="en-US"/>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('O.S. Analysis'!$A$6,'O.S. Analysis'!$A$12)</c:f>
              <c:strCache>
                <c:ptCount val="2"/>
                <c:pt idx="0">
                  <c:v>Minimum Required O.S. Area</c:v>
                </c:pt>
                <c:pt idx="1">
                  <c:v>Total, Not Open Space Area</c:v>
                </c:pt>
              </c:strCache>
            </c:strRef>
          </c:cat>
          <c:val>
            <c:numRef>
              <c:f>('O.S. Analysis'!$B$6,'O.S. Analysis'!$B$12)</c:f>
              <c:numCache>
                <c:formatCode>0.00</c:formatCode>
                <c:ptCount val="2"/>
                <c:pt idx="0">
                  <c:v>0</c:v>
                </c:pt>
                <c:pt idx="1">
                  <c:v>0</c:v>
                </c:pt>
              </c:numCache>
            </c:numRef>
          </c:val>
          <c:extLst>
            <c:ext xmlns:c16="http://schemas.microsoft.com/office/drawing/2014/chart" uri="{C3380CC4-5D6E-409C-BE32-E72D297353CC}">
              <c16:uniqueId val="{00000004-280B-4FB8-B7E9-00B60E6C8D6D}"/>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8300157817893339"/>
          <c:y val="0.37012296970122116"/>
          <c:w val="0.33903010445841919"/>
          <c:h val="0.31700469259524378"/>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Correlation between OS and Dwelling Units</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0.1122676097412706"/>
          <c:y val="0.15850427350427351"/>
          <c:w val="0.86477986026394593"/>
          <c:h val="0.6594091123224981"/>
        </c:manualLayout>
      </c:layout>
      <c:lineChart>
        <c:grouping val="standard"/>
        <c:varyColors val="0"/>
        <c:ser>
          <c:idx val="8"/>
          <c:order val="0"/>
          <c:tx>
            <c:strRef>
              <c:f>'O.S. Matrix (Informational)'!$B$62</c:f>
              <c:strCache>
                <c:ptCount val="1"/>
                <c:pt idx="0">
                  <c:v>5</c:v>
                </c:pt>
              </c:strCache>
            </c:strRef>
          </c:tx>
          <c:spPr>
            <a:ln w="28575" cap="rnd">
              <a:solidFill>
                <a:schemeClr val="accent1">
                  <a:tint val="96000"/>
                </a:schemeClr>
              </a:solidFill>
              <a:round/>
            </a:ln>
            <a:effectLst/>
          </c:spPr>
          <c:marker>
            <c:symbol val="none"/>
          </c:marker>
          <c:cat>
            <c:numRef>
              <c:f>'O.S. Matrix (Informational)'!$A$63:$A$82</c:f>
              <c:numCache>
                <c:formatCode>General</c:formatCode>
                <c:ptCount val="20"/>
                <c:pt idx="0">
                  <c:v>25</c:v>
                </c:pt>
                <c:pt idx="1">
                  <c:v>50</c:v>
                </c:pt>
                <c:pt idx="2">
                  <c:v>75</c:v>
                </c:pt>
                <c:pt idx="3">
                  <c:v>100</c:v>
                </c:pt>
                <c:pt idx="4">
                  <c:v>125</c:v>
                </c:pt>
                <c:pt idx="5">
                  <c:v>150</c:v>
                </c:pt>
                <c:pt idx="6">
                  <c:v>175</c:v>
                </c:pt>
                <c:pt idx="7">
                  <c:v>200</c:v>
                </c:pt>
                <c:pt idx="8">
                  <c:v>225</c:v>
                </c:pt>
                <c:pt idx="9">
                  <c:v>250</c:v>
                </c:pt>
                <c:pt idx="10">
                  <c:v>275</c:v>
                </c:pt>
                <c:pt idx="11">
                  <c:v>300</c:v>
                </c:pt>
                <c:pt idx="12">
                  <c:v>325</c:v>
                </c:pt>
                <c:pt idx="13">
                  <c:v>350</c:v>
                </c:pt>
                <c:pt idx="14">
                  <c:v>375</c:v>
                </c:pt>
                <c:pt idx="15">
                  <c:v>400</c:v>
                </c:pt>
                <c:pt idx="16">
                  <c:v>425</c:v>
                </c:pt>
                <c:pt idx="17">
                  <c:v>450</c:v>
                </c:pt>
                <c:pt idx="18">
                  <c:v>475</c:v>
                </c:pt>
                <c:pt idx="19">
                  <c:v>500</c:v>
                </c:pt>
              </c:numCache>
            </c:numRef>
          </c:cat>
          <c:val>
            <c:numRef>
              <c:f>'O.S. Matrix (Informational)'!$B$63:$B$82</c:f>
              <c:numCache>
                <c:formatCode>_(* #,##0_);_(* \(#,##0\);_(* "-"??_);_(@_)</c:formatCode>
                <c:ptCount val="20"/>
                <c:pt idx="0">
                  <c:v>0</c:v>
                </c:pt>
                <c:pt idx="1">
                  <c:v>685.6</c:v>
                </c:pt>
                <c:pt idx="2">
                  <c:v>540.4</c:v>
                </c:pt>
                <c:pt idx="3">
                  <c:v>467.8</c:v>
                </c:pt>
                <c:pt idx="4">
                  <c:v>424.24</c:v>
                </c:pt>
                <c:pt idx="5">
                  <c:v>395.2</c:v>
                </c:pt>
                <c:pt idx="6">
                  <c:v>374.45714285714286</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smooth val="0"/>
          <c:extLst>
            <c:ext xmlns:c16="http://schemas.microsoft.com/office/drawing/2014/chart" uri="{C3380CC4-5D6E-409C-BE32-E72D297353CC}">
              <c16:uniqueId val="{0000001D-2255-403A-A6AD-1212F9E8CD3F}"/>
            </c:ext>
          </c:extLst>
        </c:ser>
        <c:ser>
          <c:idx val="0"/>
          <c:order val="1"/>
          <c:tx>
            <c:strRef>
              <c:f>'O.S. Matrix (Informational)'!$C$62</c:f>
              <c:strCache>
                <c:ptCount val="1"/>
                <c:pt idx="0">
                  <c:v>6</c:v>
                </c:pt>
              </c:strCache>
            </c:strRef>
          </c:tx>
          <c:spPr>
            <a:ln w="28575" cap="rnd">
              <a:solidFill>
                <a:schemeClr val="accent1">
                  <a:shade val="38000"/>
                </a:schemeClr>
              </a:solidFill>
              <a:round/>
            </a:ln>
            <a:effectLst/>
          </c:spPr>
          <c:marker>
            <c:symbol val="none"/>
          </c:marker>
          <c:cat>
            <c:numRef>
              <c:f>'O.S. Matrix (Informational)'!$A$63:$A$82</c:f>
              <c:numCache>
                <c:formatCode>General</c:formatCode>
                <c:ptCount val="20"/>
                <c:pt idx="0">
                  <c:v>25</c:v>
                </c:pt>
                <c:pt idx="1">
                  <c:v>50</c:v>
                </c:pt>
                <c:pt idx="2">
                  <c:v>75</c:v>
                </c:pt>
                <c:pt idx="3">
                  <c:v>100</c:v>
                </c:pt>
                <c:pt idx="4">
                  <c:v>125</c:v>
                </c:pt>
                <c:pt idx="5">
                  <c:v>150</c:v>
                </c:pt>
                <c:pt idx="6">
                  <c:v>175</c:v>
                </c:pt>
                <c:pt idx="7">
                  <c:v>200</c:v>
                </c:pt>
                <c:pt idx="8">
                  <c:v>225</c:v>
                </c:pt>
                <c:pt idx="9">
                  <c:v>250</c:v>
                </c:pt>
                <c:pt idx="10">
                  <c:v>275</c:v>
                </c:pt>
                <c:pt idx="11">
                  <c:v>300</c:v>
                </c:pt>
                <c:pt idx="12">
                  <c:v>325</c:v>
                </c:pt>
                <c:pt idx="13">
                  <c:v>350</c:v>
                </c:pt>
                <c:pt idx="14">
                  <c:v>375</c:v>
                </c:pt>
                <c:pt idx="15">
                  <c:v>400</c:v>
                </c:pt>
                <c:pt idx="16">
                  <c:v>425</c:v>
                </c:pt>
                <c:pt idx="17">
                  <c:v>450</c:v>
                </c:pt>
                <c:pt idx="18">
                  <c:v>475</c:v>
                </c:pt>
                <c:pt idx="19">
                  <c:v>500</c:v>
                </c:pt>
              </c:numCache>
            </c:numRef>
          </c:cat>
          <c:val>
            <c:numRef>
              <c:f>'O.S. Matrix (Informational)'!$C$63:$C$82</c:f>
              <c:numCache>
                <c:formatCode>_(* #,##0_);_(* \(#,##0\);_(* "-"??_);_(@_)</c:formatCode>
                <c:ptCount val="20"/>
                <c:pt idx="0">
                  <c:v>0</c:v>
                </c:pt>
                <c:pt idx="1">
                  <c:v>772.72</c:v>
                </c:pt>
                <c:pt idx="2">
                  <c:v>598.48</c:v>
                </c:pt>
                <c:pt idx="3">
                  <c:v>511.36</c:v>
                </c:pt>
                <c:pt idx="4">
                  <c:v>459.08799999999997</c:v>
                </c:pt>
                <c:pt idx="5">
                  <c:v>424.24</c:v>
                </c:pt>
                <c:pt idx="6">
                  <c:v>399.3485714285714</c:v>
                </c:pt>
                <c:pt idx="7">
                  <c:v>380.68</c:v>
                </c:pt>
                <c:pt idx="8">
                  <c:v>366.16</c:v>
                </c:pt>
                <c:pt idx="9">
                  <c:v>0</c:v>
                </c:pt>
                <c:pt idx="10">
                  <c:v>0</c:v>
                </c:pt>
                <c:pt idx="11">
                  <c:v>0</c:v>
                </c:pt>
                <c:pt idx="12">
                  <c:v>0</c:v>
                </c:pt>
                <c:pt idx="13">
                  <c:v>0</c:v>
                </c:pt>
                <c:pt idx="14">
                  <c:v>0</c:v>
                </c:pt>
                <c:pt idx="15">
                  <c:v>0</c:v>
                </c:pt>
                <c:pt idx="16">
                  <c:v>0</c:v>
                </c:pt>
                <c:pt idx="17">
                  <c:v>0</c:v>
                </c:pt>
                <c:pt idx="18">
                  <c:v>0</c:v>
                </c:pt>
                <c:pt idx="19">
                  <c:v>0</c:v>
                </c:pt>
              </c:numCache>
            </c:numRef>
          </c:val>
          <c:smooth val="0"/>
          <c:extLst>
            <c:ext xmlns:c16="http://schemas.microsoft.com/office/drawing/2014/chart" uri="{C3380CC4-5D6E-409C-BE32-E72D297353CC}">
              <c16:uniqueId val="{0000001E-2255-403A-A6AD-1212F9E8CD3F}"/>
            </c:ext>
          </c:extLst>
        </c:ser>
        <c:ser>
          <c:idx val="1"/>
          <c:order val="2"/>
          <c:tx>
            <c:strRef>
              <c:f>'O.S. Matrix (Informational)'!$D$62</c:f>
              <c:strCache>
                <c:ptCount val="1"/>
                <c:pt idx="0">
                  <c:v>7</c:v>
                </c:pt>
              </c:strCache>
            </c:strRef>
          </c:tx>
          <c:spPr>
            <a:ln w="28575" cap="rnd">
              <a:solidFill>
                <a:schemeClr val="accent1">
                  <a:shade val="46000"/>
                </a:schemeClr>
              </a:solidFill>
              <a:round/>
            </a:ln>
            <a:effectLst/>
          </c:spPr>
          <c:marker>
            <c:symbol val="none"/>
          </c:marker>
          <c:cat>
            <c:numRef>
              <c:f>'O.S. Matrix (Informational)'!$A$63:$A$82</c:f>
              <c:numCache>
                <c:formatCode>General</c:formatCode>
                <c:ptCount val="20"/>
                <c:pt idx="0">
                  <c:v>25</c:v>
                </c:pt>
                <c:pt idx="1">
                  <c:v>50</c:v>
                </c:pt>
                <c:pt idx="2">
                  <c:v>75</c:v>
                </c:pt>
                <c:pt idx="3">
                  <c:v>100</c:v>
                </c:pt>
                <c:pt idx="4">
                  <c:v>125</c:v>
                </c:pt>
                <c:pt idx="5">
                  <c:v>150</c:v>
                </c:pt>
                <c:pt idx="6">
                  <c:v>175</c:v>
                </c:pt>
                <c:pt idx="7">
                  <c:v>200</c:v>
                </c:pt>
                <c:pt idx="8">
                  <c:v>225</c:v>
                </c:pt>
                <c:pt idx="9">
                  <c:v>250</c:v>
                </c:pt>
                <c:pt idx="10">
                  <c:v>275</c:v>
                </c:pt>
                <c:pt idx="11">
                  <c:v>300</c:v>
                </c:pt>
                <c:pt idx="12">
                  <c:v>325</c:v>
                </c:pt>
                <c:pt idx="13">
                  <c:v>350</c:v>
                </c:pt>
                <c:pt idx="14">
                  <c:v>375</c:v>
                </c:pt>
                <c:pt idx="15">
                  <c:v>400</c:v>
                </c:pt>
                <c:pt idx="16">
                  <c:v>425</c:v>
                </c:pt>
                <c:pt idx="17">
                  <c:v>450</c:v>
                </c:pt>
                <c:pt idx="18">
                  <c:v>475</c:v>
                </c:pt>
                <c:pt idx="19">
                  <c:v>500</c:v>
                </c:pt>
              </c:numCache>
            </c:numRef>
          </c:cat>
          <c:val>
            <c:numRef>
              <c:f>'O.S. Matrix (Informational)'!$D$63:$D$82</c:f>
              <c:numCache>
                <c:formatCode>_(* #,##0_);_(* \(#,##0\);_(* "-"??_);_(@_)</c:formatCode>
                <c:ptCount val="20"/>
                <c:pt idx="0">
                  <c:v>0</c:v>
                </c:pt>
                <c:pt idx="1">
                  <c:v>0</c:v>
                </c:pt>
                <c:pt idx="2">
                  <c:v>656.56</c:v>
                </c:pt>
                <c:pt idx="3">
                  <c:v>554.91999999999996</c:v>
                </c:pt>
                <c:pt idx="4">
                  <c:v>493.93599999999998</c:v>
                </c:pt>
                <c:pt idx="5">
                  <c:v>453.28</c:v>
                </c:pt>
                <c:pt idx="6">
                  <c:v>424.24</c:v>
                </c:pt>
                <c:pt idx="7">
                  <c:v>402.46</c:v>
                </c:pt>
                <c:pt idx="8">
                  <c:v>385.52</c:v>
                </c:pt>
                <c:pt idx="9">
                  <c:v>371.96799999999996</c:v>
                </c:pt>
                <c:pt idx="10">
                  <c:v>360.88000000000005</c:v>
                </c:pt>
                <c:pt idx="11">
                  <c:v>0</c:v>
                </c:pt>
                <c:pt idx="12">
                  <c:v>0</c:v>
                </c:pt>
                <c:pt idx="13">
                  <c:v>0</c:v>
                </c:pt>
                <c:pt idx="14">
                  <c:v>0</c:v>
                </c:pt>
                <c:pt idx="15">
                  <c:v>0</c:v>
                </c:pt>
                <c:pt idx="16">
                  <c:v>0</c:v>
                </c:pt>
                <c:pt idx="17">
                  <c:v>0</c:v>
                </c:pt>
                <c:pt idx="18">
                  <c:v>0</c:v>
                </c:pt>
                <c:pt idx="19">
                  <c:v>0</c:v>
                </c:pt>
              </c:numCache>
            </c:numRef>
          </c:val>
          <c:smooth val="0"/>
          <c:extLst>
            <c:ext xmlns:c16="http://schemas.microsoft.com/office/drawing/2014/chart" uri="{C3380CC4-5D6E-409C-BE32-E72D297353CC}">
              <c16:uniqueId val="{0000001F-2255-403A-A6AD-1212F9E8CD3F}"/>
            </c:ext>
          </c:extLst>
        </c:ser>
        <c:ser>
          <c:idx val="2"/>
          <c:order val="3"/>
          <c:tx>
            <c:strRef>
              <c:f>'O.S. Matrix (Informational)'!$E$62</c:f>
              <c:strCache>
                <c:ptCount val="1"/>
                <c:pt idx="0">
                  <c:v>8</c:v>
                </c:pt>
              </c:strCache>
            </c:strRef>
          </c:tx>
          <c:spPr>
            <a:ln w="28575" cap="rnd">
              <a:solidFill>
                <a:schemeClr val="accent1">
                  <a:shade val="54000"/>
                </a:schemeClr>
              </a:solidFill>
              <a:round/>
            </a:ln>
            <a:effectLst/>
          </c:spPr>
          <c:marker>
            <c:symbol val="none"/>
          </c:marker>
          <c:cat>
            <c:numRef>
              <c:f>'O.S. Matrix (Informational)'!$A$63:$A$82</c:f>
              <c:numCache>
                <c:formatCode>General</c:formatCode>
                <c:ptCount val="20"/>
                <c:pt idx="0">
                  <c:v>25</c:v>
                </c:pt>
                <c:pt idx="1">
                  <c:v>50</c:v>
                </c:pt>
                <c:pt idx="2">
                  <c:v>75</c:v>
                </c:pt>
                <c:pt idx="3">
                  <c:v>100</c:v>
                </c:pt>
                <c:pt idx="4">
                  <c:v>125</c:v>
                </c:pt>
                <c:pt idx="5">
                  <c:v>150</c:v>
                </c:pt>
                <c:pt idx="6">
                  <c:v>175</c:v>
                </c:pt>
                <c:pt idx="7">
                  <c:v>200</c:v>
                </c:pt>
                <c:pt idx="8">
                  <c:v>225</c:v>
                </c:pt>
                <c:pt idx="9">
                  <c:v>250</c:v>
                </c:pt>
                <c:pt idx="10">
                  <c:v>275</c:v>
                </c:pt>
                <c:pt idx="11">
                  <c:v>300</c:v>
                </c:pt>
                <c:pt idx="12">
                  <c:v>325</c:v>
                </c:pt>
                <c:pt idx="13">
                  <c:v>350</c:v>
                </c:pt>
                <c:pt idx="14">
                  <c:v>375</c:v>
                </c:pt>
                <c:pt idx="15">
                  <c:v>400</c:v>
                </c:pt>
                <c:pt idx="16">
                  <c:v>425</c:v>
                </c:pt>
                <c:pt idx="17">
                  <c:v>450</c:v>
                </c:pt>
                <c:pt idx="18">
                  <c:v>475</c:v>
                </c:pt>
                <c:pt idx="19">
                  <c:v>500</c:v>
                </c:pt>
              </c:numCache>
            </c:numRef>
          </c:cat>
          <c:val>
            <c:numRef>
              <c:f>'O.S. Matrix (Informational)'!$E$63:$E$82</c:f>
              <c:numCache>
                <c:formatCode>_(* #,##0_);_(* \(#,##0\);_(* "-"??_);_(@_)</c:formatCode>
                <c:ptCount val="20"/>
                <c:pt idx="0">
                  <c:v>0</c:v>
                </c:pt>
                <c:pt idx="1">
                  <c:v>0</c:v>
                </c:pt>
                <c:pt idx="2">
                  <c:v>714.64</c:v>
                </c:pt>
                <c:pt idx="3">
                  <c:v>598.48</c:v>
                </c:pt>
                <c:pt idx="4">
                  <c:v>528.78399999999999</c:v>
                </c:pt>
                <c:pt idx="5">
                  <c:v>482.32</c:v>
                </c:pt>
                <c:pt idx="6">
                  <c:v>449.13142857142856</c:v>
                </c:pt>
                <c:pt idx="7">
                  <c:v>424.24</c:v>
                </c:pt>
                <c:pt idx="8">
                  <c:v>404.88</c:v>
                </c:pt>
                <c:pt idx="9">
                  <c:v>389.392</c:v>
                </c:pt>
                <c:pt idx="10">
                  <c:v>376.71999999999997</c:v>
                </c:pt>
                <c:pt idx="11">
                  <c:v>366.15999999999997</c:v>
                </c:pt>
                <c:pt idx="12">
                  <c:v>0</c:v>
                </c:pt>
                <c:pt idx="13">
                  <c:v>0</c:v>
                </c:pt>
                <c:pt idx="14">
                  <c:v>0</c:v>
                </c:pt>
                <c:pt idx="15">
                  <c:v>0</c:v>
                </c:pt>
                <c:pt idx="16">
                  <c:v>0</c:v>
                </c:pt>
                <c:pt idx="17">
                  <c:v>0</c:v>
                </c:pt>
                <c:pt idx="18">
                  <c:v>0</c:v>
                </c:pt>
                <c:pt idx="19">
                  <c:v>0</c:v>
                </c:pt>
              </c:numCache>
            </c:numRef>
          </c:val>
          <c:smooth val="0"/>
          <c:extLst>
            <c:ext xmlns:c16="http://schemas.microsoft.com/office/drawing/2014/chart" uri="{C3380CC4-5D6E-409C-BE32-E72D297353CC}">
              <c16:uniqueId val="{00000020-2255-403A-A6AD-1212F9E8CD3F}"/>
            </c:ext>
          </c:extLst>
        </c:ser>
        <c:ser>
          <c:idx val="3"/>
          <c:order val="4"/>
          <c:tx>
            <c:strRef>
              <c:f>'O.S. Matrix (Informational)'!$F$62</c:f>
              <c:strCache>
                <c:ptCount val="1"/>
                <c:pt idx="0">
                  <c:v>9</c:v>
                </c:pt>
              </c:strCache>
            </c:strRef>
          </c:tx>
          <c:spPr>
            <a:ln w="28575" cap="rnd">
              <a:solidFill>
                <a:schemeClr val="accent1">
                  <a:shade val="62000"/>
                </a:schemeClr>
              </a:solidFill>
              <a:round/>
            </a:ln>
            <a:effectLst/>
          </c:spPr>
          <c:marker>
            <c:symbol val="none"/>
          </c:marker>
          <c:cat>
            <c:numRef>
              <c:f>'O.S. Matrix (Informational)'!$A$63:$A$82</c:f>
              <c:numCache>
                <c:formatCode>General</c:formatCode>
                <c:ptCount val="20"/>
                <c:pt idx="0">
                  <c:v>25</c:v>
                </c:pt>
                <c:pt idx="1">
                  <c:v>50</c:v>
                </c:pt>
                <c:pt idx="2">
                  <c:v>75</c:v>
                </c:pt>
                <c:pt idx="3">
                  <c:v>100</c:v>
                </c:pt>
                <c:pt idx="4">
                  <c:v>125</c:v>
                </c:pt>
                <c:pt idx="5">
                  <c:v>150</c:v>
                </c:pt>
                <c:pt idx="6">
                  <c:v>175</c:v>
                </c:pt>
                <c:pt idx="7">
                  <c:v>200</c:v>
                </c:pt>
                <c:pt idx="8">
                  <c:v>225</c:v>
                </c:pt>
                <c:pt idx="9">
                  <c:v>250</c:v>
                </c:pt>
                <c:pt idx="10">
                  <c:v>275</c:v>
                </c:pt>
                <c:pt idx="11">
                  <c:v>300</c:v>
                </c:pt>
                <c:pt idx="12">
                  <c:v>325</c:v>
                </c:pt>
                <c:pt idx="13">
                  <c:v>350</c:v>
                </c:pt>
                <c:pt idx="14">
                  <c:v>375</c:v>
                </c:pt>
                <c:pt idx="15">
                  <c:v>400</c:v>
                </c:pt>
                <c:pt idx="16">
                  <c:v>425</c:v>
                </c:pt>
                <c:pt idx="17">
                  <c:v>450</c:v>
                </c:pt>
                <c:pt idx="18">
                  <c:v>475</c:v>
                </c:pt>
                <c:pt idx="19">
                  <c:v>500</c:v>
                </c:pt>
              </c:numCache>
            </c:numRef>
          </c:cat>
          <c:val>
            <c:numRef>
              <c:f>'O.S. Matrix (Informational)'!$F$63:$F$82</c:f>
              <c:numCache>
                <c:formatCode>_(* #,##0_);_(* \(#,##0\);_(* "-"??_);_(@_)</c:formatCode>
                <c:ptCount val="20"/>
                <c:pt idx="0">
                  <c:v>0</c:v>
                </c:pt>
                <c:pt idx="1">
                  <c:v>0</c:v>
                </c:pt>
                <c:pt idx="2">
                  <c:v>772.72</c:v>
                </c:pt>
                <c:pt idx="3">
                  <c:v>642.04</c:v>
                </c:pt>
                <c:pt idx="4">
                  <c:v>563.63199999999995</c:v>
                </c:pt>
                <c:pt idx="5">
                  <c:v>511.36</c:v>
                </c:pt>
                <c:pt idx="6">
                  <c:v>474.02285714285716</c:v>
                </c:pt>
                <c:pt idx="7">
                  <c:v>446.02</c:v>
                </c:pt>
                <c:pt idx="8">
                  <c:v>424.24</c:v>
                </c:pt>
                <c:pt idx="9">
                  <c:v>406.81599999999997</c:v>
                </c:pt>
                <c:pt idx="10">
                  <c:v>392.56</c:v>
                </c:pt>
                <c:pt idx="11">
                  <c:v>380.68</c:v>
                </c:pt>
                <c:pt idx="12">
                  <c:v>370.62769230769231</c:v>
                </c:pt>
                <c:pt idx="13">
                  <c:v>362.01142857142855</c:v>
                </c:pt>
                <c:pt idx="14">
                  <c:v>0</c:v>
                </c:pt>
                <c:pt idx="15">
                  <c:v>0</c:v>
                </c:pt>
                <c:pt idx="16">
                  <c:v>0</c:v>
                </c:pt>
                <c:pt idx="17">
                  <c:v>0</c:v>
                </c:pt>
                <c:pt idx="18">
                  <c:v>0</c:v>
                </c:pt>
                <c:pt idx="19">
                  <c:v>0</c:v>
                </c:pt>
              </c:numCache>
            </c:numRef>
          </c:val>
          <c:smooth val="0"/>
          <c:extLst>
            <c:ext xmlns:c16="http://schemas.microsoft.com/office/drawing/2014/chart" uri="{C3380CC4-5D6E-409C-BE32-E72D297353CC}">
              <c16:uniqueId val="{00000021-2255-403A-A6AD-1212F9E8CD3F}"/>
            </c:ext>
          </c:extLst>
        </c:ser>
        <c:ser>
          <c:idx val="4"/>
          <c:order val="5"/>
          <c:tx>
            <c:strRef>
              <c:f>'O.S. Matrix (Informational)'!$G$62</c:f>
              <c:strCache>
                <c:ptCount val="1"/>
                <c:pt idx="0">
                  <c:v>10</c:v>
                </c:pt>
              </c:strCache>
            </c:strRef>
          </c:tx>
          <c:spPr>
            <a:ln w="28575" cap="rnd">
              <a:solidFill>
                <a:schemeClr val="accent1">
                  <a:shade val="71000"/>
                </a:schemeClr>
              </a:solidFill>
              <a:round/>
            </a:ln>
            <a:effectLst/>
          </c:spPr>
          <c:marker>
            <c:symbol val="none"/>
          </c:marker>
          <c:cat>
            <c:numRef>
              <c:f>'O.S. Matrix (Informational)'!$A$63:$A$82</c:f>
              <c:numCache>
                <c:formatCode>General</c:formatCode>
                <c:ptCount val="20"/>
                <c:pt idx="0">
                  <c:v>25</c:v>
                </c:pt>
                <c:pt idx="1">
                  <c:v>50</c:v>
                </c:pt>
                <c:pt idx="2">
                  <c:v>75</c:v>
                </c:pt>
                <c:pt idx="3">
                  <c:v>100</c:v>
                </c:pt>
                <c:pt idx="4">
                  <c:v>125</c:v>
                </c:pt>
                <c:pt idx="5">
                  <c:v>150</c:v>
                </c:pt>
                <c:pt idx="6">
                  <c:v>175</c:v>
                </c:pt>
                <c:pt idx="7">
                  <c:v>200</c:v>
                </c:pt>
                <c:pt idx="8">
                  <c:v>225</c:v>
                </c:pt>
                <c:pt idx="9">
                  <c:v>250</c:v>
                </c:pt>
                <c:pt idx="10">
                  <c:v>275</c:v>
                </c:pt>
                <c:pt idx="11">
                  <c:v>300</c:v>
                </c:pt>
                <c:pt idx="12">
                  <c:v>325</c:v>
                </c:pt>
                <c:pt idx="13">
                  <c:v>350</c:v>
                </c:pt>
                <c:pt idx="14">
                  <c:v>375</c:v>
                </c:pt>
                <c:pt idx="15">
                  <c:v>400</c:v>
                </c:pt>
                <c:pt idx="16">
                  <c:v>425</c:v>
                </c:pt>
                <c:pt idx="17">
                  <c:v>450</c:v>
                </c:pt>
                <c:pt idx="18">
                  <c:v>475</c:v>
                </c:pt>
                <c:pt idx="19">
                  <c:v>500</c:v>
                </c:pt>
              </c:numCache>
            </c:numRef>
          </c:cat>
          <c:val>
            <c:numRef>
              <c:f>'O.S. Matrix (Informational)'!$G$63:$G$82</c:f>
              <c:numCache>
                <c:formatCode>_(* #,##0_);_(* \(#,##0\);_(* "-"??_);_(@_)</c:formatCode>
                <c:ptCount val="20"/>
                <c:pt idx="0">
                  <c:v>0</c:v>
                </c:pt>
                <c:pt idx="1">
                  <c:v>0</c:v>
                </c:pt>
                <c:pt idx="2">
                  <c:v>0</c:v>
                </c:pt>
                <c:pt idx="3">
                  <c:v>685.6</c:v>
                </c:pt>
                <c:pt idx="4">
                  <c:v>598.48</c:v>
                </c:pt>
                <c:pt idx="5">
                  <c:v>540.4</c:v>
                </c:pt>
                <c:pt idx="6">
                  <c:v>498.91428571428571</c:v>
                </c:pt>
                <c:pt idx="7">
                  <c:v>467.8</c:v>
                </c:pt>
                <c:pt idx="8">
                  <c:v>443.6</c:v>
                </c:pt>
                <c:pt idx="9">
                  <c:v>424.24</c:v>
                </c:pt>
                <c:pt idx="10">
                  <c:v>408.4</c:v>
                </c:pt>
                <c:pt idx="11">
                  <c:v>395.2</c:v>
                </c:pt>
                <c:pt idx="12">
                  <c:v>384.03076923076924</c:v>
                </c:pt>
                <c:pt idx="13">
                  <c:v>374.45714285714286</c:v>
                </c:pt>
                <c:pt idx="14">
                  <c:v>366.16</c:v>
                </c:pt>
                <c:pt idx="15">
                  <c:v>0</c:v>
                </c:pt>
                <c:pt idx="16">
                  <c:v>0</c:v>
                </c:pt>
                <c:pt idx="17">
                  <c:v>0</c:v>
                </c:pt>
                <c:pt idx="18">
                  <c:v>0</c:v>
                </c:pt>
                <c:pt idx="19">
                  <c:v>0</c:v>
                </c:pt>
              </c:numCache>
            </c:numRef>
          </c:val>
          <c:smooth val="0"/>
          <c:extLst>
            <c:ext xmlns:c16="http://schemas.microsoft.com/office/drawing/2014/chart" uri="{C3380CC4-5D6E-409C-BE32-E72D297353CC}">
              <c16:uniqueId val="{00000022-2255-403A-A6AD-1212F9E8CD3F}"/>
            </c:ext>
          </c:extLst>
        </c:ser>
        <c:ser>
          <c:idx val="5"/>
          <c:order val="6"/>
          <c:tx>
            <c:strRef>
              <c:f>'O.S. Matrix (Informational)'!$H$62</c:f>
              <c:strCache>
                <c:ptCount val="1"/>
                <c:pt idx="0">
                  <c:v>11</c:v>
                </c:pt>
              </c:strCache>
            </c:strRef>
          </c:tx>
          <c:spPr>
            <a:ln w="28575" cap="rnd">
              <a:solidFill>
                <a:schemeClr val="accent1">
                  <a:shade val="79000"/>
                </a:schemeClr>
              </a:solidFill>
              <a:round/>
            </a:ln>
            <a:effectLst/>
          </c:spPr>
          <c:marker>
            <c:symbol val="none"/>
          </c:marker>
          <c:cat>
            <c:numRef>
              <c:f>'O.S. Matrix (Informational)'!$A$63:$A$82</c:f>
              <c:numCache>
                <c:formatCode>General</c:formatCode>
                <c:ptCount val="20"/>
                <c:pt idx="0">
                  <c:v>25</c:v>
                </c:pt>
                <c:pt idx="1">
                  <c:v>50</c:v>
                </c:pt>
                <c:pt idx="2">
                  <c:v>75</c:v>
                </c:pt>
                <c:pt idx="3">
                  <c:v>100</c:v>
                </c:pt>
                <c:pt idx="4">
                  <c:v>125</c:v>
                </c:pt>
                <c:pt idx="5">
                  <c:v>150</c:v>
                </c:pt>
                <c:pt idx="6">
                  <c:v>175</c:v>
                </c:pt>
                <c:pt idx="7">
                  <c:v>200</c:v>
                </c:pt>
                <c:pt idx="8">
                  <c:v>225</c:v>
                </c:pt>
                <c:pt idx="9">
                  <c:v>250</c:v>
                </c:pt>
                <c:pt idx="10">
                  <c:v>275</c:v>
                </c:pt>
                <c:pt idx="11">
                  <c:v>300</c:v>
                </c:pt>
                <c:pt idx="12">
                  <c:v>325</c:v>
                </c:pt>
                <c:pt idx="13">
                  <c:v>350</c:v>
                </c:pt>
                <c:pt idx="14">
                  <c:v>375</c:v>
                </c:pt>
                <c:pt idx="15">
                  <c:v>400</c:v>
                </c:pt>
                <c:pt idx="16">
                  <c:v>425</c:v>
                </c:pt>
                <c:pt idx="17">
                  <c:v>450</c:v>
                </c:pt>
                <c:pt idx="18">
                  <c:v>475</c:v>
                </c:pt>
                <c:pt idx="19">
                  <c:v>500</c:v>
                </c:pt>
              </c:numCache>
            </c:numRef>
          </c:cat>
          <c:val>
            <c:numRef>
              <c:f>'O.S. Matrix (Informational)'!$H$63:$H$82</c:f>
              <c:numCache>
                <c:formatCode>_(* #,##0_);_(* \(#,##0\);_(* "-"??_);_(@_)</c:formatCode>
                <c:ptCount val="20"/>
                <c:pt idx="0">
                  <c:v>0</c:v>
                </c:pt>
                <c:pt idx="1">
                  <c:v>0</c:v>
                </c:pt>
                <c:pt idx="2">
                  <c:v>0</c:v>
                </c:pt>
                <c:pt idx="3">
                  <c:v>729.16</c:v>
                </c:pt>
                <c:pt idx="4">
                  <c:v>633.32799999999997</c:v>
                </c:pt>
                <c:pt idx="5">
                  <c:v>569.44000000000005</c:v>
                </c:pt>
                <c:pt idx="6">
                  <c:v>523.8057142857142</c:v>
                </c:pt>
                <c:pt idx="7">
                  <c:v>489.5800000000001</c:v>
                </c:pt>
                <c:pt idx="8">
                  <c:v>462.96000000000004</c:v>
                </c:pt>
                <c:pt idx="9">
                  <c:v>441.66399999999999</c:v>
                </c:pt>
                <c:pt idx="10">
                  <c:v>424.24</c:v>
                </c:pt>
                <c:pt idx="11">
                  <c:v>409.72</c:v>
                </c:pt>
                <c:pt idx="12">
                  <c:v>397.43384615384616</c:v>
                </c:pt>
                <c:pt idx="13">
                  <c:v>386.90285714285716</c:v>
                </c:pt>
                <c:pt idx="14">
                  <c:v>377.77600000000001</c:v>
                </c:pt>
                <c:pt idx="15">
                  <c:v>369.79</c:v>
                </c:pt>
                <c:pt idx="16">
                  <c:v>362.74352941176471</c:v>
                </c:pt>
                <c:pt idx="17">
                  <c:v>0</c:v>
                </c:pt>
                <c:pt idx="18">
                  <c:v>0</c:v>
                </c:pt>
                <c:pt idx="19">
                  <c:v>0</c:v>
                </c:pt>
              </c:numCache>
            </c:numRef>
          </c:val>
          <c:smooth val="0"/>
          <c:extLst>
            <c:ext xmlns:c16="http://schemas.microsoft.com/office/drawing/2014/chart" uri="{C3380CC4-5D6E-409C-BE32-E72D297353CC}">
              <c16:uniqueId val="{00000023-2255-403A-A6AD-1212F9E8CD3F}"/>
            </c:ext>
          </c:extLst>
        </c:ser>
        <c:ser>
          <c:idx val="6"/>
          <c:order val="7"/>
          <c:tx>
            <c:strRef>
              <c:f>'O.S. Matrix (Informational)'!$I$62</c:f>
              <c:strCache>
                <c:ptCount val="1"/>
                <c:pt idx="0">
                  <c:v>12</c:v>
                </c:pt>
              </c:strCache>
            </c:strRef>
          </c:tx>
          <c:spPr>
            <a:ln w="28575" cap="rnd">
              <a:solidFill>
                <a:schemeClr val="accent1">
                  <a:shade val="87000"/>
                </a:schemeClr>
              </a:solidFill>
              <a:round/>
            </a:ln>
            <a:effectLst/>
          </c:spPr>
          <c:marker>
            <c:symbol val="none"/>
          </c:marker>
          <c:cat>
            <c:numRef>
              <c:f>'O.S. Matrix (Informational)'!$A$63:$A$82</c:f>
              <c:numCache>
                <c:formatCode>General</c:formatCode>
                <c:ptCount val="20"/>
                <c:pt idx="0">
                  <c:v>25</c:v>
                </c:pt>
                <c:pt idx="1">
                  <c:v>50</c:v>
                </c:pt>
                <c:pt idx="2">
                  <c:v>75</c:v>
                </c:pt>
                <c:pt idx="3">
                  <c:v>100</c:v>
                </c:pt>
                <c:pt idx="4">
                  <c:v>125</c:v>
                </c:pt>
                <c:pt idx="5">
                  <c:v>150</c:v>
                </c:pt>
                <c:pt idx="6">
                  <c:v>175</c:v>
                </c:pt>
                <c:pt idx="7">
                  <c:v>200</c:v>
                </c:pt>
                <c:pt idx="8">
                  <c:v>225</c:v>
                </c:pt>
                <c:pt idx="9">
                  <c:v>250</c:v>
                </c:pt>
                <c:pt idx="10">
                  <c:v>275</c:v>
                </c:pt>
                <c:pt idx="11">
                  <c:v>300</c:v>
                </c:pt>
                <c:pt idx="12">
                  <c:v>325</c:v>
                </c:pt>
                <c:pt idx="13">
                  <c:v>350</c:v>
                </c:pt>
                <c:pt idx="14">
                  <c:v>375</c:v>
                </c:pt>
                <c:pt idx="15">
                  <c:v>400</c:v>
                </c:pt>
                <c:pt idx="16">
                  <c:v>425</c:v>
                </c:pt>
                <c:pt idx="17">
                  <c:v>450</c:v>
                </c:pt>
                <c:pt idx="18">
                  <c:v>475</c:v>
                </c:pt>
                <c:pt idx="19">
                  <c:v>500</c:v>
                </c:pt>
              </c:numCache>
            </c:numRef>
          </c:cat>
          <c:val>
            <c:numRef>
              <c:f>'O.S. Matrix (Informational)'!$I$63:$I$82</c:f>
              <c:numCache>
                <c:formatCode>_(* #,##0_);_(* \(#,##0\);_(* "-"??_);_(@_)</c:formatCode>
                <c:ptCount val="20"/>
                <c:pt idx="0">
                  <c:v>0</c:v>
                </c:pt>
                <c:pt idx="1">
                  <c:v>0</c:v>
                </c:pt>
                <c:pt idx="2">
                  <c:v>0</c:v>
                </c:pt>
                <c:pt idx="3">
                  <c:v>772.72</c:v>
                </c:pt>
                <c:pt idx="4">
                  <c:v>668.17600000000004</c:v>
                </c:pt>
                <c:pt idx="5">
                  <c:v>598.48</c:v>
                </c:pt>
                <c:pt idx="6">
                  <c:v>548.69714285714281</c:v>
                </c:pt>
                <c:pt idx="7">
                  <c:v>511.36</c:v>
                </c:pt>
                <c:pt idx="8">
                  <c:v>482.31999999999994</c:v>
                </c:pt>
                <c:pt idx="9">
                  <c:v>459.08799999999997</c:v>
                </c:pt>
                <c:pt idx="10">
                  <c:v>440.08000000000004</c:v>
                </c:pt>
                <c:pt idx="11">
                  <c:v>424.24</c:v>
                </c:pt>
                <c:pt idx="12">
                  <c:v>410.83692307692309</c:v>
                </c:pt>
                <c:pt idx="13">
                  <c:v>399.3485714285714</c:v>
                </c:pt>
                <c:pt idx="14">
                  <c:v>389.392</c:v>
                </c:pt>
                <c:pt idx="15">
                  <c:v>380.68</c:v>
                </c:pt>
                <c:pt idx="16">
                  <c:v>372.99294117647059</c:v>
                </c:pt>
                <c:pt idx="17">
                  <c:v>366.16</c:v>
                </c:pt>
                <c:pt idx="18">
                  <c:v>360.04631578947368</c:v>
                </c:pt>
                <c:pt idx="19">
                  <c:v>0</c:v>
                </c:pt>
              </c:numCache>
            </c:numRef>
          </c:val>
          <c:smooth val="0"/>
          <c:extLst>
            <c:ext xmlns:c16="http://schemas.microsoft.com/office/drawing/2014/chart" uri="{C3380CC4-5D6E-409C-BE32-E72D297353CC}">
              <c16:uniqueId val="{00000024-2255-403A-A6AD-1212F9E8CD3F}"/>
            </c:ext>
          </c:extLst>
        </c:ser>
        <c:ser>
          <c:idx val="7"/>
          <c:order val="8"/>
          <c:tx>
            <c:strRef>
              <c:f>'O.S. Matrix (Informational)'!$J$62</c:f>
              <c:strCache>
                <c:ptCount val="1"/>
                <c:pt idx="0">
                  <c:v>13</c:v>
                </c:pt>
              </c:strCache>
            </c:strRef>
          </c:tx>
          <c:spPr>
            <a:ln w="28575" cap="rnd">
              <a:solidFill>
                <a:schemeClr val="accent1">
                  <a:shade val="95000"/>
                </a:schemeClr>
              </a:solidFill>
              <a:round/>
            </a:ln>
            <a:effectLst/>
          </c:spPr>
          <c:marker>
            <c:symbol val="none"/>
          </c:marker>
          <c:cat>
            <c:numRef>
              <c:f>'O.S. Matrix (Informational)'!$A$63:$A$82</c:f>
              <c:numCache>
                <c:formatCode>General</c:formatCode>
                <c:ptCount val="20"/>
                <c:pt idx="0">
                  <c:v>25</c:v>
                </c:pt>
                <c:pt idx="1">
                  <c:v>50</c:v>
                </c:pt>
                <c:pt idx="2">
                  <c:v>75</c:v>
                </c:pt>
                <c:pt idx="3">
                  <c:v>100</c:v>
                </c:pt>
                <c:pt idx="4">
                  <c:v>125</c:v>
                </c:pt>
                <c:pt idx="5">
                  <c:v>150</c:v>
                </c:pt>
                <c:pt idx="6">
                  <c:v>175</c:v>
                </c:pt>
                <c:pt idx="7">
                  <c:v>200</c:v>
                </c:pt>
                <c:pt idx="8">
                  <c:v>225</c:v>
                </c:pt>
                <c:pt idx="9">
                  <c:v>250</c:v>
                </c:pt>
                <c:pt idx="10">
                  <c:v>275</c:v>
                </c:pt>
                <c:pt idx="11">
                  <c:v>300</c:v>
                </c:pt>
                <c:pt idx="12">
                  <c:v>325</c:v>
                </c:pt>
                <c:pt idx="13">
                  <c:v>350</c:v>
                </c:pt>
                <c:pt idx="14">
                  <c:v>375</c:v>
                </c:pt>
                <c:pt idx="15">
                  <c:v>400</c:v>
                </c:pt>
                <c:pt idx="16">
                  <c:v>425</c:v>
                </c:pt>
                <c:pt idx="17">
                  <c:v>450</c:v>
                </c:pt>
                <c:pt idx="18">
                  <c:v>475</c:v>
                </c:pt>
                <c:pt idx="19">
                  <c:v>500</c:v>
                </c:pt>
              </c:numCache>
            </c:numRef>
          </c:cat>
          <c:val>
            <c:numRef>
              <c:f>'O.S. Matrix (Informational)'!$J$63:$J$82</c:f>
              <c:numCache>
                <c:formatCode>_(* #,##0_);_(* \(#,##0\);_(* "-"??_);_(@_)</c:formatCode>
                <c:ptCount val="20"/>
                <c:pt idx="0">
                  <c:v>0</c:v>
                </c:pt>
                <c:pt idx="1">
                  <c:v>0</c:v>
                </c:pt>
                <c:pt idx="2">
                  <c:v>0</c:v>
                </c:pt>
                <c:pt idx="3">
                  <c:v>0</c:v>
                </c:pt>
                <c:pt idx="4">
                  <c:v>703.024</c:v>
                </c:pt>
                <c:pt idx="5">
                  <c:v>627.52</c:v>
                </c:pt>
                <c:pt idx="6">
                  <c:v>573.58857142857141</c:v>
                </c:pt>
                <c:pt idx="7">
                  <c:v>533.14</c:v>
                </c:pt>
                <c:pt idx="8">
                  <c:v>501.68</c:v>
                </c:pt>
                <c:pt idx="9">
                  <c:v>476.512</c:v>
                </c:pt>
                <c:pt idx="10">
                  <c:v>455.91999999999996</c:v>
                </c:pt>
                <c:pt idx="11">
                  <c:v>438.76</c:v>
                </c:pt>
                <c:pt idx="12">
                  <c:v>424.24</c:v>
                </c:pt>
                <c:pt idx="13">
                  <c:v>411.79428571428571</c:v>
                </c:pt>
                <c:pt idx="14">
                  <c:v>401.00799999999998</c:v>
                </c:pt>
                <c:pt idx="15">
                  <c:v>391.57</c:v>
                </c:pt>
                <c:pt idx="16">
                  <c:v>383.24235294117648</c:v>
                </c:pt>
                <c:pt idx="17">
                  <c:v>375.84</c:v>
                </c:pt>
                <c:pt idx="18">
                  <c:v>369.21684210526314</c:v>
                </c:pt>
                <c:pt idx="19">
                  <c:v>363.25599999999997</c:v>
                </c:pt>
              </c:numCache>
            </c:numRef>
          </c:val>
          <c:smooth val="0"/>
          <c:extLst>
            <c:ext xmlns:c16="http://schemas.microsoft.com/office/drawing/2014/chart" uri="{C3380CC4-5D6E-409C-BE32-E72D297353CC}">
              <c16:uniqueId val="{00000025-2255-403A-A6AD-1212F9E8CD3F}"/>
            </c:ext>
          </c:extLst>
        </c:ser>
        <c:ser>
          <c:idx val="9"/>
          <c:order val="9"/>
          <c:tx>
            <c:strRef>
              <c:f>'O.S. Matrix (Informational)'!$K$62</c:f>
              <c:strCache>
                <c:ptCount val="1"/>
                <c:pt idx="0">
                  <c:v>14</c:v>
                </c:pt>
              </c:strCache>
            </c:strRef>
          </c:tx>
          <c:spPr>
            <a:ln w="28575" cap="rnd">
              <a:solidFill>
                <a:schemeClr val="accent1">
                  <a:tint val="88000"/>
                </a:schemeClr>
              </a:solidFill>
              <a:round/>
            </a:ln>
            <a:effectLst/>
          </c:spPr>
          <c:marker>
            <c:symbol val="none"/>
          </c:marker>
          <c:cat>
            <c:numRef>
              <c:f>'O.S. Matrix (Informational)'!$A$63:$A$82</c:f>
              <c:numCache>
                <c:formatCode>General</c:formatCode>
                <c:ptCount val="20"/>
                <c:pt idx="0">
                  <c:v>25</c:v>
                </c:pt>
                <c:pt idx="1">
                  <c:v>50</c:v>
                </c:pt>
                <c:pt idx="2">
                  <c:v>75</c:v>
                </c:pt>
                <c:pt idx="3">
                  <c:v>100</c:v>
                </c:pt>
                <c:pt idx="4">
                  <c:v>125</c:v>
                </c:pt>
                <c:pt idx="5">
                  <c:v>150</c:v>
                </c:pt>
                <c:pt idx="6">
                  <c:v>175</c:v>
                </c:pt>
                <c:pt idx="7">
                  <c:v>200</c:v>
                </c:pt>
                <c:pt idx="8">
                  <c:v>225</c:v>
                </c:pt>
                <c:pt idx="9">
                  <c:v>250</c:v>
                </c:pt>
                <c:pt idx="10">
                  <c:v>275</c:v>
                </c:pt>
                <c:pt idx="11">
                  <c:v>300</c:v>
                </c:pt>
                <c:pt idx="12">
                  <c:v>325</c:v>
                </c:pt>
                <c:pt idx="13">
                  <c:v>350</c:v>
                </c:pt>
                <c:pt idx="14">
                  <c:v>375</c:v>
                </c:pt>
                <c:pt idx="15">
                  <c:v>400</c:v>
                </c:pt>
                <c:pt idx="16">
                  <c:v>425</c:v>
                </c:pt>
                <c:pt idx="17">
                  <c:v>450</c:v>
                </c:pt>
                <c:pt idx="18">
                  <c:v>475</c:v>
                </c:pt>
                <c:pt idx="19">
                  <c:v>500</c:v>
                </c:pt>
              </c:numCache>
            </c:numRef>
          </c:cat>
          <c:val>
            <c:numRef>
              <c:f>'O.S. Matrix (Informational)'!$K$63:$K$82</c:f>
              <c:numCache>
                <c:formatCode>_(* #,##0_);_(* \(#,##0\);_(* "-"??_);_(@_)</c:formatCode>
                <c:ptCount val="20"/>
                <c:pt idx="0">
                  <c:v>0</c:v>
                </c:pt>
                <c:pt idx="1">
                  <c:v>0</c:v>
                </c:pt>
                <c:pt idx="2">
                  <c:v>0</c:v>
                </c:pt>
                <c:pt idx="3">
                  <c:v>0</c:v>
                </c:pt>
                <c:pt idx="4">
                  <c:v>737.87199999999996</c:v>
                </c:pt>
                <c:pt idx="5">
                  <c:v>656.56</c:v>
                </c:pt>
                <c:pt idx="6">
                  <c:v>598.48</c:v>
                </c:pt>
                <c:pt idx="7">
                  <c:v>554.91999999999996</c:v>
                </c:pt>
                <c:pt idx="8">
                  <c:v>521.04</c:v>
                </c:pt>
                <c:pt idx="9">
                  <c:v>493.93599999999998</c:v>
                </c:pt>
                <c:pt idx="10">
                  <c:v>471.76</c:v>
                </c:pt>
                <c:pt idx="11">
                  <c:v>453.28</c:v>
                </c:pt>
                <c:pt idx="12">
                  <c:v>437.64307692307693</c:v>
                </c:pt>
                <c:pt idx="13">
                  <c:v>424.24</c:v>
                </c:pt>
                <c:pt idx="14">
                  <c:v>412.62400000000002</c:v>
                </c:pt>
                <c:pt idx="15">
                  <c:v>402.46</c:v>
                </c:pt>
                <c:pt idx="16">
                  <c:v>393.49176470588236</c:v>
                </c:pt>
                <c:pt idx="17">
                  <c:v>385.52</c:v>
                </c:pt>
                <c:pt idx="18">
                  <c:v>378.38736842105254</c:v>
                </c:pt>
                <c:pt idx="19">
                  <c:v>371.96799999999996</c:v>
                </c:pt>
              </c:numCache>
            </c:numRef>
          </c:val>
          <c:smooth val="0"/>
          <c:extLst>
            <c:ext xmlns:c16="http://schemas.microsoft.com/office/drawing/2014/chart" uri="{C3380CC4-5D6E-409C-BE32-E72D297353CC}">
              <c16:uniqueId val="{00000026-2255-403A-A6AD-1212F9E8CD3F}"/>
            </c:ext>
          </c:extLst>
        </c:ser>
        <c:ser>
          <c:idx val="10"/>
          <c:order val="10"/>
          <c:tx>
            <c:strRef>
              <c:f>'O.S. Matrix (Informational)'!$L$62</c:f>
              <c:strCache>
                <c:ptCount val="1"/>
                <c:pt idx="0">
                  <c:v>15</c:v>
                </c:pt>
              </c:strCache>
            </c:strRef>
          </c:tx>
          <c:spPr>
            <a:ln w="28575" cap="rnd">
              <a:solidFill>
                <a:schemeClr val="accent1">
                  <a:tint val="80000"/>
                </a:schemeClr>
              </a:solidFill>
              <a:round/>
            </a:ln>
            <a:effectLst/>
          </c:spPr>
          <c:marker>
            <c:symbol val="none"/>
          </c:marker>
          <c:cat>
            <c:numRef>
              <c:f>'O.S. Matrix (Informational)'!$A$63:$A$82</c:f>
              <c:numCache>
                <c:formatCode>General</c:formatCode>
                <c:ptCount val="20"/>
                <c:pt idx="0">
                  <c:v>25</c:v>
                </c:pt>
                <c:pt idx="1">
                  <c:v>50</c:v>
                </c:pt>
                <c:pt idx="2">
                  <c:v>75</c:v>
                </c:pt>
                <c:pt idx="3">
                  <c:v>100</c:v>
                </c:pt>
                <c:pt idx="4">
                  <c:v>125</c:v>
                </c:pt>
                <c:pt idx="5">
                  <c:v>150</c:v>
                </c:pt>
                <c:pt idx="6">
                  <c:v>175</c:v>
                </c:pt>
                <c:pt idx="7">
                  <c:v>200</c:v>
                </c:pt>
                <c:pt idx="8">
                  <c:v>225</c:v>
                </c:pt>
                <c:pt idx="9">
                  <c:v>250</c:v>
                </c:pt>
                <c:pt idx="10">
                  <c:v>275</c:v>
                </c:pt>
                <c:pt idx="11">
                  <c:v>300</c:v>
                </c:pt>
                <c:pt idx="12">
                  <c:v>325</c:v>
                </c:pt>
                <c:pt idx="13">
                  <c:v>350</c:v>
                </c:pt>
                <c:pt idx="14">
                  <c:v>375</c:v>
                </c:pt>
                <c:pt idx="15">
                  <c:v>400</c:v>
                </c:pt>
                <c:pt idx="16">
                  <c:v>425</c:v>
                </c:pt>
                <c:pt idx="17">
                  <c:v>450</c:v>
                </c:pt>
                <c:pt idx="18">
                  <c:v>475</c:v>
                </c:pt>
                <c:pt idx="19">
                  <c:v>500</c:v>
                </c:pt>
              </c:numCache>
            </c:numRef>
          </c:cat>
          <c:val>
            <c:numRef>
              <c:f>'O.S. Matrix (Informational)'!$L$63:$L$82</c:f>
              <c:numCache>
                <c:formatCode>_(* #,##0_);_(* \(#,##0\);_(* "-"??_);_(@_)</c:formatCode>
                <c:ptCount val="20"/>
                <c:pt idx="0">
                  <c:v>0</c:v>
                </c:pt>
                <c:pt idx="1">
                  <c:v>0</c:v>
                </c:pt>
                <c:pt idx="2">
                  <c:v>0</c:v>
                </c:pt>
                <c:pt idx="3">
                  <c:v>0</c:v>
                </c:pt>
                <c:pt idx="4">
                  <c:v>772.71999999999991</c:v>
                </c:pt>
                <c:pt idx="5">
                  <c:v>685.60000000000014</c:v>
                </c:pt>
                <c:pt idx="6">
                  <c:v>623.37142857142862</c:v>
                </c:pt>
                <c:pt idx="7">
                  <c:v>576.70000000000005</c:v>
                </c:pt>
                <c:pt idx="8">
                  <c:v>540.4</c:v>
                </c:pt>
                <c:pt idx="9">
                  <c:v>511.36</c:v>
                </c:pt>
                <c:pt idx="10">
                  <c:v>487.6</c:v>
                </c:pt>
                <c:pt idx="11">
                  <c:v>467.8</c:v>
                </c:pt>
                <c:pt idx="12">
                  <c:v>451.04615384615386</c:v>
                </c:pt>
                <c:pt idx="13">
                  <c:v>436.68571428571431</c:v>
                </c:pt>
                <c:pt idx="14">
                  <c:v>424.24</c:v>
                </c:pt>
                <c:pt idx="15">
                  <c:v>413.35</c:v>
                </c:pt>
                <c:pt idx="16">
                  <c:v>403.74117647058824</c:v>
                </c:pt>
                <c:pt idx="17">
                  <c:v>395.2</c:v>
                </c:pt>
                <c:pt idx="18">
                  <c:v>387.55789473684212</c:v>
                </c:pt>
                <c:pt idx="19">
                  <c:v>380.68</c:v>
                </c:pt>
              </c:numCache>
            </c:numRef>
          </c:val>
          <c:smooth val="0"/>
          <c:extLst>
            <c:ext xmlns:c16="http://schemas.microsoft.com/office/drawing/2014/chart" uri="{C3380CC4-5D6E-409C-BE32-E72D297353CC}">
              <c16:uniqueId val="{00000027-2255-403A-A6AD-1212F9E8CD3F}"/>
            </c:ext>
          </c:extLst>
        </c:ser>
        <c:ser>
          <c:idx val="11"/>
          <c:order val="11"/>
          <c:tx>
            <c:strRef>
              <c:f>'O.S. Matrix (Informational)'!$M$62</c:f>
              <c:strCache>
                <c:ptCount val="1"/>
                <c:pt idx="0">
                  <c:v>16</c:v>
                </c:pt>
              </c:strCache>
            </c:strRef>
          </c:tx>
          <c:spPr>
            <a:ln w="28575" cap="rnd">
              <a:solidFill>
                <a:schemeClr val="accent1">
                  <a:tint val="72000"/>
                </a:schemeClr>
              </a:solidFill>
              <a:round/>
            </a:ln>
            <a:effectLst/>
          </c:spPr>
          <c:marker>
            <c:symbol val="none"/>
          </c:marker>
          <c:cat>
            <c:numRef>
              <c:f>'O.S. Matrix (Informational)'!$A$63:$A$82</c:f>
              <c:numCache>
                <c:formatCode>General</c:formatCode>
                <c:ptCount val="20"/>
                <c:pt idx="0">
                  <c:v>25</c:v>
                </c:pt>
                <c:pt idx="1">
                  <c:v>50</c:v>
                </c:pt>
                <c:pt idx="2">
                  <c:v>75</c:v>
                </c:pt>
                <c:pt idx="3">
                  <c:v>100</c:v>
                </c:pt>
                <c:pt idx="4">
                  <c:v>125</c:v>
                </c:pt>
                <c:pt idx="5">
                  <c:v>150</c:v>
                </c:pt>
                <c:pt idx="6">
                  <c:v>175</c:v>
                </c:pt>
                <c:pt idx="7">
                  <c:v>200</c:v>
                </c:pt>
                <c:pt idx="8">
                  <c:v>225</c:v>
                </c:pt>
                <c:pt idx="9">
                  <c:v>250</c:v>
                </c:pt>
                <c:pt idx="10">
                  <c:v>275</c:v>
                </c:pt>
                <c:pt idx="11">
                  <c:v>300</c:v>
                </c:pt>
                <c:pt idx="12">
                  <c:v>325</c:v>
                </c:pt>
                <c:pt idx="13">
                  <c:v>350</c:v>
                </c:pt>
                <c:pt idx="14">
                  <c:v>375</c:v>
                </c:pt>
                <c:pt idx="15">
                  <c:v>400</c:v>
                </c:pt>
                <c:pt idx="16">
                  <c:v>425</c:v>
                </c:pt>
                <c:pt idx="17">
                  <c:v>450</c:v>
                </c:pt>
                <c:pt idx="18">
                  <c:v>475</c:v>
                </c:pt>
                <c:pt idx="19">
                  <c:v>500</c:v>
                </c:pt>
              </c:numCache>
            </c:numRef>
          </c:cat>
          <c:val>
            <c:numRef>
              <c:f>'O.S. Matrix (Informational)'!$M$63:$M$82</c:f>
              <c:numCache>
                <c:formatCode>_(* #,##0_);_(* \(#,##0\);_(* "-"??_);_(@_)</c:formatCode>
                <c:ptCount val="20"/>
                <c:pt idx="0">
                  <c:v>0</c:v>
                </c:pt>
                <c:pt idx="1">
                  <c:v>0</c:v>
                </c:pt>
                <c:pt idx="2">
                  <c:v>0</c:v>
                </c:pt>
                <c:pt idx="3">
                  <c:v>0</c:v>
                </c:pt>
                <c:pt idx="4">
                  <c:v>0</c:v>
                </c:pt>
                <c:pt idx="5">
                  <c:v>714.64</c:v>
                </c:pt>
                <c:pt idx="6">
                  <c:v>648.26285714285711</c:v>
                </c:pt>
                <c:pt idx="7">
                  <c:v>598.48</c:v>
                </c:pt>
                <c:pt idx="8">
                  <c:v>559.7600000000001</c:v>
                </c:pt>
                <c:pt idx="9">
                  <c:v>528.78399999999999</c:v>
                </c:pt>
                <c:pt idx="10">
                  <c:v>503.44</c:v>
                </c:pt>
                <c:pt idx="11">
                  <c:v>482.32</c:v>
                </c:pt>
                <c:pt idx="12">
                  <c:v>464.44923076923078</c:v>
                </c:pt>
                <c:pt idx="13">
                  <c:v>449.13142857142856</c:v>
                </c:pt>
                <c:pt idx="14">
                  <c:v>435.85599999999999</c:v>
                </c:pt>
                <c:pt idx="15">
                  <c:v>424.24</c:v>
                </c:pt>
                <c:pt idx="16">
                  <c:v>413.99058823529413</c:v>
                </c:pt>
                <c:pt idx="17">
                  <c:v>404.88</c:v>
                </c:pt>
                <c:pt idx="18">
                  <c:v>396.72842105263157</c:v>
                </c:pt>
                <c:pt idx="19">
                  <c:v>389.392</c:v>
                </c:pt>
              </c:numCache>
            </c:numRef>
          </c:val>
          <c:smooth val="0"/>
          <c:extLst>
            <c:ext xmlns:c16="http://schemas.microsoft.com/office/drawing/2014/chart" uri="{C3380CC4-5D6E-409C-BE32-E72D297353CC}">
              <c16:uniqueId val="{00000028-2255-403A-A6AD-1212F9E8CD3F}"/>
            </c:ext>
          </c:extLst>
        </c:ser>
        <c:ser>
          <c:idx val="12"/>
          <c:order val="12"/>
          <c:tx>
            <c:strRef>
              <c:f>'O.S. Matrix (Informational)'!$N$62</c:f>
              <c:strCache>
                <c:ptCount val="1"/>
                <c:pt idx="0">
                  <c:v>17</c:v>
                </c:pt>
              </c:strCache>
            </c:strRef>
          </c:tx>
          <c:spPr>
            <a:ln w="28575" cap="rnd">
              <a:solidFill>
                <a:schemeClr val="accent1">
                  <a:tint val="63000"/>
                </a:schemeClr>
              </a:solidFill>
              <a:round/>
            </a:ln>
            <a:effectLst/>
          </c:spPr>
          <c:marker>
            <c:symbol val="none"/>
          </c:marker>
          <c:cat>
            <c:numRef>
              <c:f>'O.S. Matrix (Informational)'!$A$63:$A$82</c:f>
              <c:numCache>
                <c:formatCode>General</c:formatCode>
                <c:ptCount val="20"/>
                <c:pt idx="0">
                  <c:v>25</c:v>
                </c:pt>
                <c:pt idx="1">
                  <c:v>50</c:v>
                </c:pt>
                <c:pt idx="2">
                  <c:v>75</c:v>
                </c:pt>
                <c:pt idx="3">
                  <c:v>100</c:v>
                </c:pt>
                <c:pt idx="4">
                  <c:v>125</c:v>
                </c:pt>
                <c:pt idx="5">
                  <c:v>150</c:v>
                </c:pt>
                <c:pt idx="6">
                  <c:v>175</c:v>
                </c:pt>
                <c:pt idx="7">
                  <c:v>200</c:v>
                </c:pt>
                <c:pt idx="8">
                  <c:v>225</c:v>
                </c:pt>
                <c:pt idx="9">
                  <c:v>250</c:v>
                </c:pt>
                <c:pt idx="10">
                  <c:v>275</c:v>
                </c:pt>
                <c:pt idx="11">
                  <c:v>300</c:v>
                </c:pt>
                <c:pt idx="12">
                  <c:v>325</c:v>
                </c:pt>
                <c:pt idx="13">
                  <c:v>350</c:v>
                </c:pt>
                <c:pt idx="14">
                  <c:v>375</c:v>
                </c:pt>
                <c:pt idx="15">
                  <c:v>400</c:v>
                </c:pt>
                <c:pt idx="16">
                  <c:v>425</c:v>
                </c:pt>
                <c:pt idx="17">
                  <c:v>450</c:v>
                </c:pt>
                <c:pt idx="18">
                  <c:v>475</c:v>
                </c:pt>
                <c:pt idx="19">
                  <c:v>500</c:v>
                </c:pt>
              </c:numCache>
            </c:numRef>
          </c:cat>
          <c:val>
            <c:numRef>
              <c:f>'O.S. Matrix (Informational)'!$N$63:$N$82</c:f>
              <c:numCache>
                <c:formatCode>_(* #,##0_);_(* \(#,##0\);_(* "-"??_);_(@_)</c:formatCode>
                <c:ptCount val="20"/>
                <c:pt idx="0">
                  <c:v>0</c:v>
                </c:pt>
                <c:pt idx="1">
                  <c:v>0</c:v>
                </c:pt>
                <c:pt idx="2">
                  <c:v>0</c:v>
                </c:pt>
                <c:pt idx="3">
                  <c:v>0</c:v>
                </c:pt>
                <c:pt idx="4">
                  <c:v>0</c:v>
                </c:pt>
                <c:pt idx="5">
                  <c:v>743.68000000000006</c:v>
                </c:pt>
                <c:pt idx="6">
                  <c:v>673.15428571428583</c:v>
                </c:pt>
                <c:pt idx="7">
                  <c:v>620.2600000000001</c:v>
                </c:pt>
                <c:pt idx="8">
                  <c:v>579.12000000000012</c:v>
                </c:pt>
                <c:pt idx="9">
                  <c:v>546.20799999999997</c:v>
                </c:pt>
                <c:pt idx="10">
                  <c:v>519.28</c:v>
                </c:pt>
                <c:pt idx="11">
                  <c:v>496.84</c:v>
                </c:pt>
                <c:pt idx="12">
                  <c:v>477.8523076923077</c:v>
                </c:pt>
                <c:pt idx="13">
                  <c:v>461.57714285714286</c:v>
                </c:pt>
                <c:pt idx="14">
                  <c:v>447.47199999999998</c:v>
                </c:pt>
                <c:pt idx="15">
                  <c:v>435.13</c:v>
                </c:pt>
                <c:pt idx="16">
                  <c:v>424.24000000000007</c:v>
                </c:pt>
                <c:pt idx="17">
                  <c:v>414.56000000000006</c:v>
                </c:pt>
                <c:pt idx="18">
                  <c:v>405.89894736842103</c:v>
                </c:pt>
                <c:pt idx="19">
                  <c:v>398.10399999999998</c:v>
                </c:pt>
              </c:numCache>
            </c:numRef>
          </c:val>
          <c:smooth val="0"/>
          <c:extLst>
            <c:ext xmlns:c16="http://schemas.microsoft.com/office/drawing/2014/chart" uri="{C3380CC4-5D6E-409C-BE32-E72D297353CC}">
              <c16:uniqueId val="{00000029-2255-403A-A6AD-1212F9E8CD3F}"/>
            </c:ext>
          </c:extLst>
        </c:ser>
        <c:ser>
          <c:idx val="13"/>
          <c:order val="13"/>
          <c:tx>
            <c:strRef>
              <c:f>'O.S. Matrix (Informational)'!$O$62</c:f>
              <c:strCache>
                <c:ptCount val="1"/>
                <c:pt idx="0">
                  <c:v>18</c:v>
                </c:pt>
              </c:strCache>
            </c:strRef>
          </c:tx>
          <c:spPr>
            <a:ln w="28575" cap="rnd">
              <a:solidFill>
                <a:schemeClr val="accent1">
                  <a:tint val="55000"/>
                </a:schemeClr>
              </a:solidFill>
              <a:round/>
            </a:ln>
            <a:effectLst/>
          </c:spPr>
          <c:marker>
            <c:symbol val="none"/>
          </c:marker>
          <c:cat>
            <c:numRef>
              <c:f>'O.S. Matrix (Informational)'!$A$63:$A$82</c:f>
              <c:numCache>
                <c:formatCode>General</c:formatCode>
                <c:ptCount val="20"/>
                <c:pt idx="0">
                  <c:v>25</c:v>
                </c:pt>
                <c:pt idx="1">
                  <c:v>50</c:v>
                </c:pt>
                <c:pt idx="2">
                  <c:v>75</c:v>
                </c:pt>
                <c:pt idx="3">
                  <c:v>100</c:v>
                </c:pt>
                <c:pt idx="4">
                  <c:v>125</c:v>
                </c:pt>
                <c:pt idx="5">
                  <c:v>150</c:v>
                </c:pt>
                <c:pt idx="6">
                  <c:v>175</c:v>
                </c:pt>
                <c:pt idx="7">
                  <c:v>200</c:v>
                </c:pt>
                <c:pt idx="8">
                  <c:v>225</c:v>
                </c:pt>
                <c:pt idx="9">
                  <c:v>250</c:v>
                </c:pt>
                <c:pt idx="10">
                  <c:v>275</c:v>
                </c:pt>
                <c:pt idx="11">
                  <c:v>300</c:v>
                </c:pt>
                <c:pt idx="12">
                  <c:v>325</c:v>
                </c:pt>
                <c:pt idx="13">
                  <c:v>350</c:v>
                </c:pt>
                <c:pt idx="14">
                  <c:v>375</c:v>
                </c:pt>
                <c:pt idx="15">
                  <c:v>400</c:v>
                </c:pt>
                <c:pt idx="16">
                  <c:v>425</c:v>
                </c:pt>
                <c:pt idx="17">
                  <c:v>450</c:v>
                </c:pt>
                <c:pt idx="18">
                  <c:v>475</c:v>
                </c:pt>
                <c:pt idx="19">
                  <c:v>500</c:v>
                </c:pt>
              </c:numCache>
            </c:numRef>
          </c:cat>
          <c:val>
            <c:numRef>
              <c:f>'O.S. Matrix (Informational)'!$O$63:$O$82</c:f>
              <c:numCache>
                <c:formatCode>_(* #,##0_);_(* \(#,##0\);_(* "-"??_);_(@_)</c:formatCode>
                <c:ptCount val="20"/>
                <c:pt idx="0">
                  <c:v>0</c:v>
                </c:pt>
                <c:pt idx="1">
                  <c:v>0</c:v>
                </c:pt>
                <c:pt idx="2">
                  <c:v>0</c:v>
                </c:pt>
                <c:pt idx="3">
                  <c:v>0</c:v>
                </c:pt>
                <c:pt idx="4">
                  <c:v>0</c:v>
                </c:pt>
                <c:pt idx="5">
                  <c:v>772.72</c:v>
                </c:pt>
                <c:pt idx="6">
                  <c:v>698.04571428571433</c:v>
                </c:pt>
                <c:pt idx="7">
                  <c:v>642.04</c:v>
                </c:pt>
                <c:pt idx="8">
                  <c:v>598.48</c:v>
                </c:pt>
                <c:pt idx="9">
                  <c:v>563.63199999999995</c:v>
                </c:pt>
                <c:pt idx="10">
                  <c:v>535.12</c:v>
                </c:pt>
                <c:pt idx="11">
                  <c:v>511.36</c:v>
                </c:pt>
                <c:pt idx="12">
                  <c:v>491.25538461538463</c:v>
                </c:pt>
                <c:pt idx="13">
                  <c:v>474.02285714285716</c:v>
                </c:pt>
                <c:pt idx="14">
                  <c:v>459.08800000000002</c:v>
                </c:pt>
                <c:pt idx="15">
                  <c:v>446.02</c:v>
                </c:pt>
                <c:pt idx="16">
                  <c:v>434.48941176470589</c:v>
                </c:pt>
                <c:pt idx="17">
                  <c:v>424.24</c:v>
                </c:pt>
                <c:pt idx="18">
                  <c:v>415.06947368421055</c:v>
                </c:pt>
                <c:pt idx="19">
                  <c:v>406.81599999999997</c:v>
                </c:pt>
              </c:numCache>
            </c:numRef>
          </c:val>
          <c:smooth val="0"/>
          <c:extLst>
            <c:ext xmlns:c16="http://schemas.microsoft.com/office/drawing/2014/chart" uri="{C3380CC4-5D6E-409C-BE32-E72D297353CC}">
              <c16:uniqueId val="{0000002A-2255-403A-A6AD-1212F9E8CD3F}"/>
            </c:ext>
          </c:extLst>
        </c:ser>
        <c:ser>
          <c:idx val="14"/>
          <c:order val="14"/>
          <c:tx>
            <c:strRef>
              <c:f>'O.S. Matrix (Informational)'!$P$62</c:f>
              <c:strCache>
                <c:ptCount val="1"/>
                <c:pt idx="0">
                  <c:v>19</c:v>
                </c:pt>
              </c:strCache>
            </c:strRef>
          </c:tx>
          <c:spPr>
            <a:ln w="28575" cap="rnd">
              <a:solidFill>
                <a:schemeClr val="accent1">
                  <a:tint val="47000"/>
                </a:schemeClr>
              </a:solidFill>
              <a:round/>
            </a:ln>
            <a:effectLst/>
          </c:spPr>
          <c:marker>
            <c:symbol val="none"/>
          </c:marker>
          <c:cat>
            <c:numRef>
              <c:f>'O.S. Matrix (Informational)'!$A$63:$A$82</c:f>
              <c:numCache>
                <c:formatCode>General</c:formatCode>
                <c:ptCount val="20"/>
                <c:pt idx="0">
                  <c:v>25</c:v>
                </c:pt>
                <c:pt idx="1">
                  <c:v>50</c:v>
                </c:pt>
                <c:pt idx="2">
                  <c:v>75</c:v>
                </c:pt>
                <c:pt idx="3">
                  <c:v>100</c:v>
                </c:pt>
                <c:pt idx="4">
                  <c:v>125</c:v>
                </c:pt>
                <c:pt idx="5">
                  <c:v>150</c:v>
                </c:pt>
                <c:pt idx="6">
                  <c:v>175</c:v>
                </c:pt>
                <c:pt idx="7">
                  <c:v>200</c:v>
                </c:pt>
                <c:pt idx="8">
                  <c:v>225</c:v>
                </c:pt>
                <c:pt idx="9">
                  <c:v>250</c:v>
                </c:pt>
                <c:pt idx="10">
                  <c:v>275</c:v>
                </c:pt>
                <c:pt idx="11">
                  <c:v>300</c:v>
                </c:pt>
                <c:pt idx="12">
                  <c:v>325</c:v>
                </c:pt>
                <c:pt idx="13">
                  <c:v>350</c:v>
                </c:pt>
                <c:pt idx="14">
                  <c:v>375</c:v>
                </c:pt>
                <c:pt idx="15">
                  <c:v>400</c:v>
                </c:pt>
                <c:pt idx="16">
                  <c:v>425</c:v>
                </c:pt>
                <c:pt idx="17">
                  <c:v>450</c:v>
                </c:pt>
                <c:pt idx="18">
                  <c:v>475</c:v>
                </c:pt>
                <c:pt idx="19">
                  <c:v>500</c:v>
                </c:pt>
              </c:numCache>
            </c:numRef>
          </c:cat>
          <c:val>
            <c:numRef>
              <c:f>'O.S. Matrix (Informational)'!$P$63:$P$82</c:f>
              <c:numCache>
                <c:formatCode>_(* #,##0_);_(* \(#,##0\);_(* "-"??_);_(@_)</c:formatCode>
                <c:ptCount val="20"/>
                <c:pt idx="0">
                  <c:v>0</c:v>
                </c:pt>
                <c:pt idx="1">
                  <c:v>0</c:v>
                </c:pt>
                <c:pt idx="2">
                  <c:v>0</c:v>
                </c:pt>
                <c:pt idx="3">
                  <c:v>0</c:v>
                </c:pt>
                <c:pt idx="4">
                  <c:v>0</c:v>
                </c:pt>
                <c:pt idx="5">
                  <c:v>0</c:v>
                </c:pt>
                <c:pt idx="6">
                  <c:v>722.93714285714282</c:v>
                </c:pt>
                <c:pt idx="7">
                  <c:v>663.82</c:v>
                </c:pt>
                <c:pt idx="8">
                  <c:v>617.84</c:v>
                </c:pt>
                <c:pt idx="9">
                  <c:v>581.05600000000004</c:v>
                </c:pt>
                <c:pt idx="10">
                  <c:v>550.96</c:v>
                </c:pt>
                <c:pt idx="11">
                  <c:v>525.88</c:v>
                </c:pt>
                <c:pt idx="12">
                  <c:v>504.65846153846155</c:v>
                </c:pt>
                <c:pt idx="13">
                  <c:v>486.46857142857141</c:v>
                </c:pt>
                <c:pt idx="14">
                  <c:v>470.70400000000001</c:v>
                </c:pt>
                <c:pt idx="15">
                  <c:v>456.91</c:v>
                </c:pt>
                <c:pt idx="16">
                  <c:v>444.73882352941177</c:v>
                </c:pt>
                <c:pt idx="17">
                  <c:v>433.91999999999996</c:v>
                </c:pt>
                <c:pt idx="18">
                  <c:v>424.23999999999995</c:v>
                </c:pt>
                <c:pt idx="19">
                  <c:v>415.52799999999996</c:v>
                </c:pt>
              </c:numCache>
            </c:numRef>
          </c:val>
          <c:smooth val="0"/>
          <c:extLst>
            <c:ext xmlns:c16="http://schemas.microsoft.com/office/drawing/2014/chart" uri="{C3380CC4-5D6E-409C-BE32-E72D297353CC}">
              <c16:uniqueId val="{0000002B-2255-403A-A6AD-1212F9E8CD3F}"/>
            </c:ext>
          </c:extLst>
        </c:ser>
        <c:ser>
          <c:idx val="15"/>
          <c:order val="15"/>
          <c:tx>
            <c:strRef>
              <c:f>'O.S. Matrix (Informational)'!$Q$62</c:f>
              <c:strCache>
                <c:ptCount val="1"/>
                <c:pt idx="0">
                  <c:v>20</c:v>
                </c:pt>
              </c:strCache>
            </c:strRef>
          </c:tx>
          <c:spPr>
            <a:ln w="28575" cap="rnd">
              <a:solidFill>
                <a:schemeClr val="accent1">
                  <a:tint val="39000"/>
                </a:schemeClr>
              </a:solidFill>
              <a:round/>
            </a:ln>
            <a:effectLst/>
          </c:spPr>
          <c:marker>
            <c:symbol val="none"/>
          </c:marker>
          <c:cat>
            <c:numRef>
              <c:f>'O.S. Matrix (Informational)'!$A$63:$A$82</c:f>
              <c:numCache>
                <c:formatCode>General</c:formatCode>
                <c:ptCount val="20"/>
                <c:pt idx="0">
                  <c:v>25</c:v>
                </c:pt>
                <c:pt idx="1">
                  <c:v>50</c:v>
                </c:pt>
                <c:pt idx="2">
                  <c:v>75</c:v>
                </c:pt>
                <c:pt idx="3">
                  <c:v>100</c:v>
                </c:pt>
                <c:pt idx="4">
                  <c:v>125</c:v>
                </c:pt>
                <c:pt idx="5">
                  <c:v>150</c:v>
                </c:pt>
                <c:pt idx="6">
                  <c:v>175</c:v>
                </c:pt>
                <c:pt idx="7">
                  <c:v>200</c:v>
                </c:pt>
                <c:pt idx="8">
                  <c:v>225</c:v>
                </c:pt>
                <c:pt idx="9">
                  <c:v>250</c:v>
                </c:pt>
                <c:pt idx="10">
                  <c:v>275</c:v>
                </c:pt>
                <c:pt idx="11">
                  <c:v>300</c:v>
                </c:pt>
                <c:pt idx="12">
                  <c:v>325</c:v>
                </c:pt>
                <c:pt idx="13">
                  <c:v>350</c:v>
                </c:pt>
                <c:pt idx="14">
                  <c:v>375</c:v>
                </c:pt>
                <c:pt idx="15">
                  <c:v>400</c:v>
                </c:pt>
                <c:pt idx="16">
                  <c:v>425</c:v>
                </c:pt>
                <c:pt idx="17">
                  <c:v>450</c:v>
                </c:pt>
                <c:pt idx="18">
                  <c:v>475</c:v>
                </c:pt>
                <c:pt idx="19">
                  <c:v>500</c:v>
                </c:pt>
              </c:numCache>
            </c:numRef>
          </c:cat>
          <c:val>
            <c:numRef>
              <c:f>'O.S. Matrix (Informational)'!$Q$63:$Q$82</c:f>
              <c:numCache>
                <c:formatCode>_(* #,##0_);_(* \(#,##0\);_(* "-"??_);_(@_)</c:formatCode>
                <c:ptCount val="20"/>
                <c:pt idx="0">
                  <c:v>0</c:v>
                </c:pt>
                <c:pt idx="1">
                  <c:v>0</c:v>
                </c:pt>
                <c:pt idx="2">
                  <c:v>0</c:v>
                </c:pt>
                <c:pt idx="3">
                  <c:v>0</c:v>
                </c:pt>
                <c:pt idx="4">
                  <c:v>0</c:v>
                </c:pt>
                <c:pt idx="5">
                  <c:v>0</c:v>
                </c:pt>
                <c:pt idx="6">
                  <c:v>747.82857142857142</c:v>
                </c:pt>
                <c:pt idx="7">
                  <c:v>685.6</c:v>
                </c:pt>
                <c:pt idx="8">
                  <c:v>637.20000000000005</c:v>
                </c:pt>
                <c:pt idx="9">
                  <c:v>598.48</c:v>
                </c:pt>
                <c:pt idx="10">
                  <c:v>566.79999999999995</c:v>
                </c:pt>
                <c:pt idx="11">
                  <c:v>540.4</c:v>
                </c:pt>
                <c:pt idx="12">
                  <c:v>518.06153846153848</c:v>
                </c:pt>
                <c:pt idx="13">
                  <c:v>498.91428571428571</c:v>
                </c:pt>
                <c:pt idx="14">
                  <c:v>482.32</c:v>
                </c:pt>
                <c:pt idx="15">
                  <c:v>467.8</c:v>
                </c:pt>
                <c:pt idx="16">
                  <c:v>454.98823529411766</c:v>
                </c:pt>
                <c:pt idx="17">
                  <c:v>443.6</c:v>
                </c:pt>
                <c:pt idx="18">
                  <c:v>433.41052631578947</c:v>
                </c:pt>
                <c:pt idx="19">
                  <c:v>424.24</c:v>
                </c:pt>
              </c:numCache>
            </c:numRef>
          </c:val>
          <c:smooth val="0"/>
          <c:extLst>
            <c:ext xmlns:c16="http://schemas.microsoft.com/office/drawing/2014/chart" uri="{C3380CC4-5D6E-409C-BE32-E72D297353CC}">
              <c16:uniqueId val="{0000002C-2255-403A-A6AD-1212F9E8CD3F}"/>
            </c:ext>
          </c:extLst>
        </c:ser>
        <c:dLbls>
          <c:showLegendKey val="0"/>
          <c:showVal val="0"/>
          <c:showCatName val="0"/>
          <c:showSerName val="0"/>
          <c:showPercent val="0"/>
          <c:showBubbleSize val="0"/>
        </c:dLbls>
        <c:smooth val="0"/>
        <c:axId val="1353827167"/>
        <c:axId val="1297249263"/>
      </c:lineChart>
      <c:catAx>
        <c:axId val="1353827167"/>
        <c:scaling>
          <c:orientation val="minMax"/>
        </c:scaling>
        <c:delete val="0"/>
        <c:axPos val="b"/>
        <c:title>
          <c:tx>
            <c:rich>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Dwelling Units</a:t>
                </a:r>
              </a:p>
              <a:p>
                <a:pPr>
                  <a:defRPr/>
                </a:pPr>
                <a:endParaRPr lang="en-US"/>
              </a:p>
            </c:rich>
          </c:tx>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297249263"/>
        <c:crosses val="autoZero"/>
        <c:auto val="1"/>
        <c:lblAlgn val="ctr"/>
        <c:lblOffset val="100"/>
        <c:noMultiLvlLbl val="0"/>
      </c:catAx>
      <c:valAx>
        <c:axId val="129724926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Percent of Open Space</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353827167"/>
        <c:crosses val="autoZero"/>
        <c:crossBetween val="between"/>
        <c:minorUnit val="1.0000000000000002E-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Correlation between Acres OS and Dwelling Units</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0.10748931031508385"/>
          <c:y val="0.15850427350427351"/>
          <c:w val="0.86955815969013261"/>
          <c:h val="0.66368261659600236"/>
        </c:manualLayout>
      </c:layout>
      <c:lineChart>
        <c:grouping val="standard"/>
        <c:varyColors val="0"/>
        <c:ser>
          <c:idx val="20"/>
          <c:order val="0"/>
          <c:tx>
            <c:strRef>
              <c:f>'O.S. Matrix (Informational)'!$B$36</c:f>
              <c:strCache>
                <c:ptCount val="1"/>
                <c:pt idx="0">
                  <c:v>5</c:v>
                </c:pt>
              </c:strCache>
            </c:strRef>
          </c:tx>
          <c:spPr>
            <a:ln w="28575" cap="rnd">
              <a:solidFill>
                <a:schemeClr val="accent1">
                  <a:tint val="37000"/>
                </a:schemeClr>
              </a:solidFill>
              <a:round/>
            </a:ln>
            <a:effectLst/>
          </c:spPr>
          <c:marker>
            <c:symbol val="none"/>
          </c:marker>
          <c:val>
            <c:numRef>
              <c:f>'O.S. Matrix (Informational)'!$B$37:$B$56</c:f>
              <c:numCache>
                <c:formatCode>_(* #,##0.0_);_(* \(#,##0.0\);_(* "-"??_);_(@_)</c:formatCode>
                <c:ptCount val="20"/>
                <c:pt idx="0">
                  <c:v>0</c:v>
                </c:pt>
                <c:pt idx="1">
                  <c:v>0.78696051423324154</c:v>
                </c:pt>
                <c:pt idx="2">
                  <c:v>0.93044077134986225</c:v>
                </c:pt>
                <c:pt idx="3">
                  <c:v>1.0739210284664831</c:v>
                </c:pt>
                <c:pt idx="4">
                  <c:v>1.2174012855831038</c:v>
                </c:pt>
                <c:pt idx="5">
                  <c:v>1.3608815426997245</c:v>
                </c:pt>
                <c:pt idx="6">
                  <c:v>1.5043617998163452</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smooth val="0"/>
          <c:extLst>
            <c:ext xmlns:c16="http://schemas.microsoft.com/office/drawing/2014/chart" uri="{C3380CC4-5D6E-409C-BE32-E72D297353CC}">
              <c16:uniqueId val="{00000000-1E05-449D-BD92-D1343D1DFADF}"/>
            </c:ext>
          </c:extLst>
        </c:ser>
        <c:ser>
          <c:idx val="0"/>
          <c:order val="1"/>
          <c:tx>
            <c:strRef>
              <c:f>'O.S. Matrix (Informational)'!$C$36</c:f>
              <c:strCache>
                <c:ptCount val="1"/>
                <c:pt idx="0">
                  <c:v>6</c:v>
                </c:pt>
              </c:strCache>
            </c:strRef>
          </c:tx>
          <c:spPr>
            <a:ln w="28575" cap="rnd">
              <a:solidFill>
                <a:schemeClr val="accent1">
                  <a:shade val="36000"/>
                </a:schemeClr>
              </a:solidFill>
              <a:round/>
            </a:ln>
            <a:effectLst/>
          </c:spPr>
          <c:marker>
            <c:symbol val="none"/>
          </c:marker>
          <c:val>
            <c:numRef>
              <c:f>'O.S. Matrix (Informational)'!$C$37:$C$56</c:f>
              <c:numCache>
                <c:formatCode>_(* #,##0.0_);_(* \(#,##0.0\);_(* "-"??_);_(@_)</c:formatCode>
                <c:ptCount val="20"/>
                <c:pt idx="0">
                  <c:v>0</c:v>
                </c:pt>
                <c:pt idx="1">
                  <c:v>0.88696051423324151</c:v>
                </c:pt>
                <c:pt idx="2">
                  <c:v>1.0304407713498622</c:v>
                </c:pt>
                <c:pt idx="3">
                  <c:v>1.1739210284664829</c:v>
                </c:pt>
                <c:pt idx="4">
                  <c:v>1.3174012855831037</c:v>
                </c:pt>
                <c:pt idx="5">
                  <c:v>1.4608815426997246</c:v>
                </c:pt>
                <c:pt idx="6">
                  <c:v>1.6043617998163453</c:v>
                </c:pt>
                <c:pt idx="7">
                  <c:v>1.747842056932966</c:v>
                </c:pt>
                <c:pt idx="8">
                  <c:v>1.8913223140495867</c:v>
                </c:pt>
                <c:pt idx="9">
                  <c:v>0</c:v>
                </c:pt>
                <c:pt idx="10">
                  <c:v>0</c:v>
                </c:pt>
                <c:pt idx="11">
                  <c:v>0</c:v>
                </c:pt>
                <c:pt idx="12">
                  <c:v>0</c:v>
                </c:pt>
                <c:pt idx="13">
                  <c:v>0</c:v>
                </c:pt>
                <c:pt idx="14">
                  <c:v>0</c:v>
                </c:pt>
                <c:pt idx="15">
                  <c:v>0</c:v>
                </c:pt>
                <c:pt idx="16">
                  <c:v>0</c:v>
                </c:pt>
                <c:pt idx="17">
                  <c:v>0</c:v>
                </c:pt>
                <c:pt idx="18">
                  <c:v>0</c:v>
                </c:pt>
                <c:pt idx="19">
                  <c:v>0</c:v>
                </c:pt>
              </c:numCache>
            </c:numRef>
          </c:val>
          <c:smooth val="0"/>
          <c:extLst>
            <c:ext xmlns:c16="http://schemas.microsoft.com/office/drawing/2014/chart" uri="{C3380CC4-5D6E-409C-BE32-E72D297353CC}">
              <c16:uniqueId val="{00000001-1E05-449D-BD92-D1343D1DFADF}"/>
            </c:ext>
          </c:extLst>
        </c:ser>
        <c:ser>
          <c:idx val="1"/>
          <c:order val="2"/>
          <c:tx>
            <c:strRef>
              <c:f>'O.S. Matrix (Informational)'!$D$36</c:f>
              <c:strCache>
                <c:ptCount val="1"/>
                <c:pt idx="0">
                  <c:v>7</c:v>
                </c:pt>
              </c:strCache>
            </c:strRef>
          </c:tx>
          <c:spPr>
            <a:ln w="28575" cap="rnd">
              <a:solidFill>
                <a:schemeClr val="accent1">
                  <a:shade val="42000"/>
                </a:schemeClr>
              </a:solidFill>
              <a:round/>
            </a:ln>
            <a:effectLst/>
          </c:spPr>
          <c:marker>
            <c:symbol val="none"/>
          </c:marker>
          <c:cat>
            <c:numRef>
              <c:f>'O.S. Matrix (Informational)'!$A$37:$A$56</c:f>
              <c:numCache>
                <c:formatCode>General</c:formatCode>
                <c:ptCount val="20"/>
                <c:pt idx="0">
                  <c:v>25</c:v>
                </c:pt>
                <c:pt idx="1">
                  <c:v>50</c:v>
                </c:pt>
                <c:pt idx="2">
                  <c:v>75</c:v>
                </c:pt>
                <c:pt idx="3">
                  <c:v>100</c:v>
                </c:pt>
                <c:pt idx="4">
                  <c:v>125</c:v>
                </c:pt>
                <c:pt idx="5">
                  <c:v>150</c:v>
                </c:pt>
                <c:pt idx="6">
                  <c:v>175</c:v>
                </c:pt>
                <c:pt idx="7">
                  <c:v>200</c:v>
                </c:pt>
                <c:pt idx="8">
                  <c:v>225</c:v>
                </c:pt>
                <c:pt idx="9">
                  <c:v>250</c:v>
                </c:pt>
                <c:pt idx="10">
                  <c:v>275</c:v>
                </c:pt>
                <c:pt idx="11">
                  <c:v>300</c:v>
                </c:pt>
                <c:pt idx="12">
                  <c:v>325</c:v>
                </c:pt>
                <c:pt idx="13">
                  <c:v>350</c:v>
                </c:pt>
                <c:pt idx="14">
                  <c:v>375</c:v>
                </c:pt>
                <c:pt idx="15">
                  <c:v>400</c:v>
                </c:pt>
                <c:pt idx="16">
                  <c:v>425</c:v>
                </c:pt>
                <c:pt idx="17">
                  <c:v>450</c:v>
                </c:pt>
                <c:pt idx="18">
                  <c:v>475</c:v>
                </c:pt>
                <c:pt idx="19">
                  <c:v>500</c:v>
                </c:pt>
              </c:numCache>
            </c:numRef>
          </c:cat>
          <c:val>
            <c:numRef>
              <c:f>'O.S. Matrix (Informational)'!$D$37:$D$56</c:f>
              <c:numCache>
                <c:formatCode>_(* #,##0.0_);_(* \(#,##0.0\);_(* "-"??_);_(@_)</c:formatCode>
                <c:ptCount val="20"/>
                <c:pt idx="0">
                  <c:v>0</c:v>
                </c:pt>
                <c:pt idx="1">
                  <c:v>0</c:v>
                </c:pt>
                <c:pt idx="2">
                  <c:v>1.1304407713498623</c:v>
                </c:pt>
                <c:pt idx="3">
                  <c:v>1.273921028466483</c:v>
                </c:pt>
                <c:pt idx="4">
                  <c:v>1.4174012855831037</c:v>
                </c:pt>
                <c:pt idx="5">
                  <c:v>1.5608815426997245</c:v>
                </c:pt>
                <c:pt idx="6">
                  <c:v>1.7043617998163452</c:v>
                </c:pt>
                <c:pt idx="7">
                  <c:v>1.8478420569329661</c:v>
                </c:pt>
                <c:pt idx="8">
                  <c:v>1.9913223140495868</c:v>
                </c:pt>
                <c:pt idx="9">
                  <c:v>2.1348025711662073</c:v>
                </c:pt>
                <c:pt idx="10">
                  <c:v>2.2782828282828285</c:v>
                </c:pt>
                <c:pt idx="11">
                  <c:v>0</c:v>
                </c:pt>
                <c:pt idx="12">
                  <c:v>0</c:v>
                </c:pt>
                <c:pt idx="13">
                  <c:v>0</c:v>
                </c:pt>
                <c:pt idx="14">
                  <c:v>0</c:v>
                </c:pt>
                <c:pt idx="15">
                  <c:v>0</c:v>
                </c:pt>
                <c:pt idx="16">
                  <c:v>0</c:v>
                </c:pt>
                <c:pt idx="17">
                  <c:v>0</c:v>
                </c:pt>
                <c:pt idx="18">
                  <c:v>0</c:v>
                </c:pt>
                <c:pt idx="19">
                  <c:v>0</c:v>
                </c:pt>
              </c:numCache>
            </c:numRef>
          </c:val>
          <c:smooth val="0"/>
          <c:extLst>
            <c:ext xmlns:c16="http://schemas.microsoft.com/office/drawing/2014/chart" uri="{C3380CC4-5D6E-409C-BE32-E72D297353CC}">
              <c16:uniqueId val="{00000002-1E05-449D-BD92-D1343D1DFADF}"/>
            </c:ext>
          </c:extLst>
        </c:ser>
        <c:ser>
          <c:idx val="2"/>
          <c:order val="3"/>
          <c:tx>
            <c:strRef>
              <c:f>'O.S. Matrix (Informational)'!$E$36</c:f>
              <c:strCache>
                <c:ptCount val="1"/>
                <c:pt idx="0">
                  <c:v>8</c:v>
                </c:pt>
              </c:strCache>
            </c:strRef>
          </c:tx>
          <c:spPr>
            <a:ln w="28575" cap="rnd">
              <a:solidFill>
                <a:schemeClr val="accent1">
                  <a:shade val="49000"/>
                </a:schemeClr>
              </a:solidFill>
              <a:round/>
            </a:ln>
            <a:effectLst/>
          </c:spPr>
          <c:marker>
            <c:symbol val="none"/>
          </c:marker>
          <c:cat>
            <c:numRef>
              <c:f>'O.S. Matrix (Informational)'!$A$37:$A$56</c:f>
              <c:numCache>
                <c:formatCode>General</c:formatCode>
                <c:ptCount val="20"/>
                <c:pt idx="0">
                  <c:v>25</c:v>
                </c:pt>
                <c:pt idx="1">
                  <c:v>50</c:v>
                </c:pt>
                <c:pt idx="2">
                  <c:v>75</c:v>
                </c:pt>
                <c:pt idx="3">
                  <c:v>100</c:v>
                </c:pt>
                <c:pt idx="4">
                  <c:v>125</c:v>
                </c:pt>
                <c:pt idx="5">
                  <c:v>150</c:v>
                </c:pt>
                <c:pt idx="6">
                  <c:v>175</c:v>
                </c:pt>
                <c:pt idx="7">
                  <c:v>200</c:v>
                </c:pt>
                <c:pt idx="8">
                  <c:v>225</c:v>
                </c:pt>
                <c:pt idx="9">
                  <c:v>250</c:v>
                </c:pt>
                <c:pt idx="10">
                  <c:v>275</c:v>
                </c:pt>
                <c:pt idx="11">
                  <c:v>300</c:v>
                </c:pt>
                <c:pt idx="12">
                  <c:v>325</c:v>
                </c:pt>
                <c:pt idx="13">
                  <c:v>350</c:v>
                </c:pt>
                <c:pt idx="14">
                  <c:v>375</c:v>
                </c:pt>
                <c:pt idx="15">
                  <c:v>400</c:v>
                </c:pt>
                <c:pt idx="16">
                  <c:v>425</c:v>
                </c:pt>
                <c:pt idx="17">
                  <c:v>450</c:v>
                </c:pt>
                <c:pt idx="18">
                  <c:v>475</c:v>
                </c:pt>
                <c:pt idx="19">
                  <c:v>500</c:v>
                </c:pt>
              </c:numCache>
            </c:numRef>
          </c:cat>
          <c:val>
            <c:numRef>
              <c:f>'O.S. Matrix (Informational)'!$E$37:$E$56</c:f>
              <c:numCache>
                <c:formatCode>_(* #,##0.0_);_(* \(#,##0.0\);_(* "-"??_);_(@_)</c:formatCode>
                <c:ptCount val="20"/>
                <c:pt idx="0">
                  <c:v>0</c:v>
                </c:pt>
                <c:pt idx="1">
                  <c:v>0</c:v>
                </c:pt>
                <c:pt idx="2">
                  <c:v>1.2304407713498622</c:v>
                </c:pt>
                <c:pt idx="3">
                  <c:v>1.3739210284664831</c:v>
                </c:pt>
                <c:pt idx="4">
                  <c:v>1.5174012855831038</c:v>
                </c:pt>
                <c:pt idx="5">
                  <c:v>1.6608815426997245</c:v>
                </c:pt>
                <c:pt idx="6">
                  <c:v>1.8043617998163453</c:v>
                </c:pt>
                <c:pt idx="7">
                  <c:v>1.947842056932966</c:v>
                </c:pt>
                <c:pt idx="8">
                  <c:v>2.0913223140495867</c:v>
                </c:pt>
                <c:pt idx="9">
                  <c:v>2.2348025711662074</c:v>
                </c:pt>
                <c:pt idx="10">
                  <c:v>2.3782828282828281</c:v>
                </c:pt>
                <c:pt idx="11">
                  <c:v>2.5217630853994488</c:v>
                </c:pt>
                <c:pt idx="12">
                  <c:v>0</c:v>
                </c:pt>
                <c:pt idx="13">
                  <c:v>0</c:v>
                </c:pt>
                <c:pt idx="14">
                  <c:v>0</c:v>
                </c:pt>
                <c:pt idx="15">
                  <c:v>0</c:v>
                </c:pt>
                <c:pt idx="16">
                  <c:v>0</c:v>
                </c:pt>
                <c:pt idx="17">
                  <c:v>0</c:v>
                </c:pt>
                <c:pt idx="18">
                  <c:v>0</c:v>
                </c:pt>
                <c:pt idx="19">
                  <c:v>0</c:v>
                </c:pt>
              </c:numCache>
            </c:numRef>
          </c:val>
          <c:smooth val="0"/>
          <c:extLst>
            <c:ext xmlns:c16="http://schemas.microsoft.com/office/drawing/2014/chart" uri="{C3380CC4-5D6E-409C-BE32-E72D297353CC}">
              <c16:uniqueId val="{00000003-1E05-449D-BD92-D1343D1DFADF}"/>
            </c:ext>
          </c:extLst>
        </c:ser>
        <c:ser>
          <c:idx val="3"/>
          <c:order val="4"/>
          <c:tx>
            <c:strRef>
              <c:f>'O.S. Matrix (Informational)'!$F$36</c:f>
              <c:strCache>
                <c:ptCount val="1"/>
                <c:pt idx="0">
                  <c:v>9</c:v>
                </c:pt>
              </c:strCache>
            </c:strRef>
          </c:tx>
          <c:spPr>
            <a:ln w="28575" cap="rnd">
              <a:solidFill>
                <a:schemeClr val="accent1">
                  <a:shade val="55000"/>
                </a:schemeClr>
              </a:solidFill>
              <a:round/>
            </a:ln>
            <a:effectLst/>
          </c:spPr>
          <c:marker>
            <c:symbol val="none"/>
          </c:marker>
          <c:cat>
            <c:numRef>
              <c:f>'O.S. Matrix (Informational)'!$A$37:$A$56</c:f>
              <c:numCache>
                <c:formatCode>General</c:formatCode>
                <c:ptCount val="20"/>
                <c:pt idx="0">
                  <c:v>25</c:v>
                </c:pt>
                <c:pt idx="1">
                  <c:v>50</c:v>
                </c:pt>
                <c:pt idx="2">
                  <c:v>75</c:v>
                </c:pt>
                <c:pt idx="3">
                  <c:v>100</c:v>
                </c:pt>
                <c:pt idx="4">
                  <c:v>125</c:v>
                </c:pt>
                <c:pt idx="5">
                  <c:v>150</c:v>
                </c:pt>
                <c:pt idx="6">
                  <c:v>175</c:v>
                </c:pt>
                <c:pt idx="7">
                  <c:v>200</c:v>
                </c:pt>
                <c:pt idx="8">
                  <c:v>225</c:v>
                </c:pt>
                <c:pt idx="9">
                  <c:v>250</c:v>
                </c:pt>
                <c:pt idx="10">
                  <c:v>275</c:v>
                </c:pt>
                <c:pt idx="11">
                  <c:v>300</c:v>
                </c:pt>
                <c:pt idx="12">
                  <c:v>325</c:v>
                </c:pt>
                <c:pt idx="13">
                  <c:v>350</c:v>
                </c:pt>
                <c:pt idx="14">
                  <c:v>375</c:v>
                </c:pt>
                <c:pt idx="15">
                  <c:v>400</c:v>
                </c:pt>
                <c:pt idx="16">
                  <c:v>425</c:v>
                </c:pt>
                <c:pt idx="17">
                  <c:v>450</c:v>
                </c:pt>
                <c:pt idx="18">
                  <c:v>475</c:v>
                </c:pt>
                <c:pt idx="19">
                  <c:v>500</c:v>
                </c:pt>
              </c:numCache>
            </c:numRef>
          </c:cat>
          <c:val>
            <c:numRef>
              <c:f>'O.S. Matrix (Informational)'!$F$37:$F$56</c:f>
              <c:numCache>
                <c:formatCode>_(* #,##0.0_);_(* \(#,##0.0\);_(* "-"??_);_(@_)</c:formatCode>
                <c:ptCount val="20"/>
                <c:pt idx="0">
                  <c:v>0</c:v>
                </c:pt>
                <c:pt idx="1">
                  <c:v>0</c:v>
                </c:pt>
                <c:pt idx="2">
                  <c:v>1.3304407713498623</c:v>
                </c:pt>
                <c:pt idx="3">
                  <c:v>1.473921028466483</c:v>
                </c:pt>
                <c:pt idx="4">
                  <c:v>1.6174012855831037</c:v>
                </c:pt>
                <c:pt idx="5">
                  <c:v>1.7608815426997244</c:v>
                </c:pt>
                <c:pt idx="6">
                  <c:v>1.9043617998163453</c:v>
                </c:pt>
                <c:pt idx="7">
                  <c:v>2.0478420569329661</c:v>
                </c:pt>
                <c:pt idx="8">
                  <c:v>2.1913223140495868</c:v>
                </c:pt>
                <c:pt idx="9">
                  <c:v>2.3348025711662075</c:v>
                </c:pt>
                <c:pt idx="10">
                  <c:v>2.4782828282828282</c:v>
                </c:pt>
                <c:pt idx="11">
                  <c:v>2.6217630853994489</c:v>
                </c:pt>
                <c:pt idx="12">
                  <c:v>2.7652433425160696</c:v>
                </c:pt>
                <c:pt idx="13">
                  <c:v>2.9087235996326903</c:v>
                </c:pt>
                <c:pt idx="14">
                  <c:v>0</c:v>
                </c:pt>
                <c:pt idx="15">
                  <c:v>0</c:v>
                </c:pt>
                <c:pt idx="16">
                  <c:v>0</c:v>
                </c:pt>
                <c:pt idx="17">
                  <c:v>0</c:v>
                </c:pt>
                <c:pt idx="18">
                  <c:v>0</c:v>
                </c:pt>
                <c:pt idx="19">
                  <c:v>0</c:v>
                </c:pt>
              </c:numCache>
            </c:numRef>
          </c:val>
          <c:smooth val="0"/>
          <c:extLst>
            <c:ext xmlns:c16="http://schemas.microsoft.com/office/drawing/2014/chart" uri="{C3380CC4-5D6E-409C-BE32-E72D297353CC}">
              <c16:uniqueId val="{00000004-1E05-449D-BD92-D1343D1DFADF}"/>
            </c:ext>
          </c:extLst>
        </c:ser>
        <c:ser>
          <c:idx val="4"/>
          <c:order val="5"/>
          <c:tx>
            <c:strRef>
              <c:f>'O.S. Matrix (Informational)'!$G$36</c:f>
              <c:strCache>
                <c:ptCount val="1"/>
                <c:pt idx="0">
                  <c:v>10</c:v>
                </c:pt>
              </c:strCache>
            </c:strRef>
          </c:tx>
          <c:spPr>
            <a:ln w="28575" cap="rnd">
              <a:solidFill>
                <a:schemeClr val="accent1">
                  <a:shade val="61000"/>
                </a:schemeClr>
              </a:solidFill>
              <a:round/>
            </a:ln>
            <a:effectLst/>
          </c:spPr>
          <c:marker>
            <c:symbol val="none"/>
          </c:marker>
          <c:cat>
            <c:numRef>
              <c:f>'O.S. Matrix (Informational)'!$A$37:$A$56</c:f>
              <c:numCache>
                <c:formatCode>General</c:formatCode>
                <c:ptCount val="20"/>
                <c:pt idx="0">
                  <c:v>25</c:v>
                </c:pt>
                <c:pt idx="1">
                  <c:v>50</c:v>
                </c:pt>
                <c:pt idx="2">
                  <c:v>75</c:v>
                </c:pt>
                <c:pt idx="3">
                  <c:v>100</c:v>
                </c:pt>
                <c:pt idx="4">
                  <c:v>125</c:v>
                </c:pt>
                <c:pt idx="5">
                  <c:v>150</c:v>
                </c:pt>
                <c:pt idx="6">
                  <c:v>175</c:v>
                </c:pt>
                <c:pt idx="7">
                  <c:v>200</c:v>
                </c:pt>
                <c:pt idx="8">
                  <c:v>225</c:v>
                </c:pt>
                <c:pt idx="9">
                  <c:v>250</c:v>
                </c:pt>
                <c:pt idx="10">
                  <c:v>275</c:v>
                </c:pt>
                <c:pt idx="11">
                  <c:v>300</c:v>
                </c:pt>
                <c:pt idx="12">
                  <c:v>325</c:v>
                </c:pt>
                <c:pt idx="13">
                  <c:v>350</c:v>
                </c:pt>
                <c:pt idx="14">
                  <c:v>375</c:v>
                </c:pt>
                <c:pt idx="15">
                  <c:v>400</c:v>
                </c:pt>
                <c:pt idx="16">
                  <c:v>425</c:v>
                </c:pt>
                <c:pt idx="17">
                  <c:v>450</c:v>
                </c:pt>
                <c:pt idx="18">
                  <c:v>475</c:v>
                </c:pt>
                <c:pt idx="19">
                  <c:v>500</c:v>
                </c:pt>
              </c:numCache>
            </c:numRef>
          </c:cat>
          <c:val>
            <c:numRef>
              <c:f>'O.S. Matrix (Informational)'!$G$37:$G$56</c:f>
              <c:numCache>
                <c:formatCode>_(* #,##0.0_);_(* \(#,##0.0\);_(* "-"??_);_(@_)</c:formatCode>
                <c:ptCount val="20"/>
                <c:pt idx="0">
                  <c:v>0</c:v>
                </c:pt>
                <c:pt idx="1">
                  <c:v>0</c:v>
                </c:pt>
                <c:pt idx="2">
                  <c:v>0</c:v>
                </c:pt>
                <c:pt idx="3">
                  <c:v>1.5739210284664831</c:v>
                </c:pt>
                <c:pt idx="4">
                  <c:v>1.7174012855831038</c:v>
                </c:pt>
                <c:pt idx="5">
                  <c:v>1.8608815426997245</c:v>
                </c:pt>
                <c:pt idx="6">
                  <c:v>2.0043617998163454</c:v>
                </c:pt>
                <c:pt idx="7">
                  <c:v>2.1478420569329661</c:v>
                </c:pt>
                <c:pt idx="8">
                  <c:v>2.2913223140495869</c:v>
                </c:pt>
                <c:pt idx="9">
                  <c:v>2.4348025711662076</c:v>
                </c:pt>
                <c:pt idx="10">
                  <c:v>2.5782828282828283</c:v>
                </c:pt>
                <c:pt idx="11">
                  <c:v>2.721763085399449</c:v>
                </c:pt>
                <c:pt idx="12">
                  <c:v>2.8652433425160697</c:v>
                </c:pt>
                <c:pt idx="13">
                  <c:v>3.0087235996326904</c:v>
                </c:pt>
                <c:pt idx="14">
                  <c:v>3.1522038567493111</c:v>
                </c:pt>
                <c:pt idx="15">
                  <c:v>0</c:v>
                </c:pt>
                <c:pt idx="16">
                  <c:v>0</c:v>
                </c:pt>
                <c:pt idx="17">
                  <c:v>0</c:v>
                </c:pt>
                <c:pt idx="18">
                  <c:v>0</c:v>
                </c:pt>
                <c:pt idx="19">
                  <c:v>0</c:v>
                </c:pt>
              </c:numCache>
            </c:numRef>
          </c:val>
          <c:smooth val="0"/>
          <c:extLst>
            <c:ext xmlns:c16="http://schemas.microsoft.com/office/drawing/2014/chart" uri="{C3380CC4-5D6E-409C-BE32-E72D297353CC}">
              <c16:uniqueId val="{00000005-1E05-449D-BD92-D1343D1DFADF}"/>
            </c:ext>
          </c:extLst>
        </c:ser>
        <c:ser>
          <c:idx val="5"/>
          <c:order val="6"/>
          <c:tx>
            <c:strRef>
              <c:f>'O.S. Matrix (Informational)'!$H$36</c:f>
              <c:strCache>
                <c:ptCount val="1"/>
                <c:pt idx="0">
                  <c:v>11</c:v>
                </c:pt>
              </c:strCache>
            </c:strRef>
          </c:tx>
          <c:spPr>
            <a:ln w="28575" cap="rnd">
              <a:solidFill>
                <a:schemeClr val="accent1">
                  <a:shade val="68000"/>
                </a:schemeClr>
              </a:solidFill>
              <a:round/>
            </a:ln>
            <a:effectLst/>
          </c:spPr>
          <c:marker>
            <c:symbol val="none"/>
          </c:marker>
          <c:cat>
            <c:numRef>
              <c:f>'O.S. Matrix (Informational)'!$A$37:$A$56</c:f>
              <c:numCache>
                <c:formatCode>General</c:formatCode>
                <c:ptCount val="20"/>
                <c:pt idx="0">
                  <c:v>25</c:v>
                </c:pt>
                <c:pt idx="1">
                  <c:v>50</c:v>
                </c:pt>
                <c:pt idx="2">
                  <c:v>75</c:v>
                </c:pt>
                <c:pt idx="3">
                  <c:v>100</c:v>
                </c:pt>
                <c:pt idx="4">
                  <c:v>125</c:v>
                </c:pt>
                <c:pt idx="5">
                  <c:v>150</c:v>
                </c:pt>
                <c:pt idx="6">
                  <c:v>175</c:v>
                </c:pt>
                <c:pt idx="7">
                  <c:v>200</c:v>
                </c:pt>
                <c:pt idx="8">
                  <c:v>225</c:v>
                </c:pt>
                <c:pt idx="9">
                  <c:v>250</c:v>
                </c:pt>
                <c:pt idx="10">
                  <c:v>275</c:v>
                </c:pt>
                <c:pt idx="11">
                  <c:v>300</c:v>
                </c:pt>
                <c:pt idx="12">
                  <c:v>325</c:v>
                </c:pt>
                <c:pt idx="13">
                  <c:v>350</c:v>
                </c:pt>
                <c:pt idx="14">
                  <c:v>375</c:v>
                </c:pt>
                <c:pt idx="15">
                  <c:v>400</c:v>
                </c:pt>
                <c:pt idx="16">
                  <c:v>425</c:v>
                </c:pt>
                <c:pt idx="17">
                  <c:v>450</c:v>
                </c:pt>
                <c:pt idx="18">
                  <c:v>475</c:v>
                </c:pt>
                <c:pt idx="19">
                  <c:v>500</c:v>
                </c:pt>
              </c:numCache>
            </c:numRef>
          </c:cat>
          <c:val>
            <c:numRef>
              <c:f>'O.S. Matrix (Informational)'!$H$37:$H$56</c:f>
              <c:numCache>
                <c:formatCode>_(* #,##0.0_);_(* \(#,##0.0\);_(* "-"??_);_(@_)</c:formatCode>
                <c:ptCount val="20"/>
                <c:pt idx="0">
                  <c:v>0</c:v>
                </c:pt>
                <c:pt idx="1">
                  <c:v>0</c:v>
                </c:pt>
                <c:pt idx="2">
                  <c:v>0</c:v>
                </c:pt>
                <c:pt idx="3">
                  <c:v>1.6739210284664829</c:v>
                </c:pt>
                <c:pt idx="4">
                  <c:v>1.8174012855831037</c:v>
                </c:pt>
                <c:pt idx="5">
                  <c:v>1.9608815426997246</c:v>
                </c:pt>
                <c:pt idx="6">
                  <c:v>2.1043617998163451</c:v>
                </c:pt>
                <c:pt idx="7">
                  <c:v>2.2478420569329662</c:v>
                </c:pt>
                <c:pt idx="8">
                  <c:v>2.391322314049587</c:v>
                </c:pt>
                <c:pt idx="9">
                  <c:v>2.5348025711662077</c:v>
                </c:pt>
                <c:pt idx="10">
                  <c:v>2.6782828282828284</c:v>
                </c:pt>
                <c:pt idx="11">
                  <c:v>2.8217630853994491</c:v>
                </c:pt>
                <c:pt idx="12">
                  <c:v>2.9652433425160698</c:v>
                </c:pt>
                <c:pt idx="13">
                  <c:v>3.1087235996326905</c:v>
                </c:pt>
                <c:pt idx="14">
                  <c:v>3.2522038567493112</c:v>
                </c:pt>
                <c:pt idx="15">
                  <c:v>3.3956841138659319</c:v>
                </c:pt>
                <c:pt idx="16">
                  <c:v>3.5391643709825527</c:v>
                </c:pt>
                <c:pt idx="17">
                  <c:v>0</c:v>
                </c:pt>
                <c:pt idx="18">
                  <c:v>0</c:v>
                </c:pt>
                <c:pt idx="19">
                  <c:v>0</c:v>
                </c:pt>
              </c:numCache>
            </c:numRef>
          </c:val>
          <c:smooth val="0"/>
          <c:extLst>
            <c:ext xmlns:c16="http://schemas.microsoft.com/office/drawing/2014/chart" uri="{C3380CC4-5D6E-409C-BE32-E72D297353CC}">
              <c16:uniqueId val="{00000006-1E05-449D-BD92-D1343D1DFADF}"/>
            </c:ext>
          </c:extLst>
        </c:ser>
        <c:ser>
          <c:idx val="6"/>
          <c:order val="7"/>
          <c:tx>
            <c:strRef>
              <c:f>'O.S. Matrix (Informational)'!$I$36</c:f>
              <c:strCache>
                <c:ptCount val="1"/>
                <c:pt idx="0">
                  <c:v>12</c:v>
                </c:pt>
              </c:strCache>
            </c:strRef>
          </c:tx>
          <c:spPr>
            <a:ln w="28575" cap="rnd">
              <a:solidFill>
                <a:schemeClr val="accent1">
                  <a:shade val="74000"/>
                </a:schemeClr>
              </a:solidFill>
              <a:round/>
            </a:ln>
            <a:effectLst/>
          </c:spPr>
          <c:marker>
            <c:symbol val="none"/>
          </c:marker>
          <c:cat>
            <c:numRef>
              <c:f>'O.S. Matrix (Informational)'!$A$37:$A$56</c:f>
              <c:numCache>
                <c:formatCode>General</c:formatCode>
                <c:ptCount val="20"/>
                <c:pt idx="0">
                  <c:v>25</c:v>
                </c:pt>
                <c:pt idx="1">
                  <c:v>50</c:v>
                </c:pt>
                <c:pt idx="2">
                  <c:v>75</c:v>
                </c:pt>
                <c:pt idx="3">
                  <c:v>100</c:v>
                </c:pt>
                <c:pt idx="4">
                  <c:v>125</c:v>
                </c:pt>
                <c:pt idx="5">
                  <c:v>150</c:v>
                </c:pt>
                <c:pt idx="6">
                  <c:v>175</c:v>
                </c:pt>
                <c:pt idx="7">
                  <c:v>200</c:v>
                </c:pt>
                <c:pt idx="8">
                  <c:v>225</c:v>
                </c:pt>
                <c:pt idx="9">
                  <c:v>250</c:v>
                </c:pt>
                <c:pt idx="10">
                  <c:v>275</c:v>
                </c:pt>
                <c:pt idx="11">
                  <c:v>300</c:v>
                </c:pt>
                <c:pt idx="12">
                  <c:v>325</c:v>
                </c:pt>
                <c:pt idx="13">
                  <c:v>350</c:v>
                </c:pt>
                <c:pt idx="14">
                  <c:v>375</c:v>
                </c:pt>
                <c:pt idx="15">
                  <c:v>400</c:v>
                </c:pt>
                <c:pt idx="16">
                  <c:v>425</c:v>
                </c:pt>
                <c:pt idx="17">
                  <c:v>450</c:v>
                </c:pt>
                <c:pt idx="18">
                  <c:v>475</c:v>
                </c:pt>
                <c:pt idx="19">
                  <c:v>500</c:v>
                </c:pt>
              </c:numCache>
            </c:numRef>
          </c:cat>
          <c:val>
            <c:numRef>
              <c:f>'O.S. Matrix (Informational)'!$I$37:$I$56</c:f>
              <c:numCache>
                <c:formatCode>_(* #,##0.0_);_(* \(#,##0.0\);_(* "-"??_);_(@_)</c:formatCode>
                <c:ptCount val="20"/>
                <c:pt idx="0">
                  <c:v>0</c:v>
                </c:pt>
                <c:pt idx="1">
                  <c:v>0</c:v>
                </c:pt>
                <c:pt idx="2">
                  <c:v>0</c:v>
                </c:pt>
                <c:pt idx="3">
                  <c:v>1.773921028466483</c:v>
                </c:pt>
                <c:pt idx="4">
                  <c:v>1.9174012855831037</c:v>
                </c:pt>
                <c:pt idx="5">
                  <c:v>2.0608815426997245</c:v>
                </c:pt>
                <c:pt idx="6">
                  <c:v>2.2043617998163452</c:v>
                </c:pt>
                <c:pt idx="7">
                  <c:v>2.3478420569329659</c:v>
                </c:pt>
                <c:pt idx="8">
                  <c:v>2.4913223140495866</c:v>
                </c:pt>
                <c:pt idx="9">
                  <c:v>2.6348025711662073</c:v>
                </c:pt>
                <c:pt idx="10">
                  <c:v>2.7782828282828285</c:v>
                </c:pt>
                <c:pt idx="11">
                  <c:v>2.9217630853994492</c:v>
                </c:pt>
                <c:pt idx="12">
                  <c:v>3.0652433425160699</c:v>
                </c:pt>
                <c:pt idx="13">
                  <c:v>3.2087235996326906</c:v>
                </c:pt>
                <c:pt idx="14">
                  <c:v>3.3522038567493113</c:v>
                </c:pt>
                <c:pt idx="15">
                  <c:v>3.495684113865932</c:v>
                </c:pt>
                <c:pt idx="16">
                  <c:v>3.6391643709825527</c:v>
                </c:pt>
                <c:pt idx="17">
                  <c:v>3.7826446280991735</c:v>
                </c:pt>
                <c:pt idx="18">
                  <c:v>3.9261248852157942</c:v>
                </c:pt>
                <c:pt idx="19">
                  <c:v>0</c:v>
                </c:pt>
              </c:numCache>
            </c:numRef>
          </c:val>
          <c:smooth val="0"/>
          <c:extLst>
            <c:ext xmlns:c16="http://schemas.microsoft.com/office/drawing/2014/chart" uri="{C3380CC4-5D6E-409C-BE32-E72D297353CC}">
              <c16:uniqueId val="{00000007-1E05-449D-BD92-D1343D1DFADF}"/>
            </c:ext>
          </c:extLst>
        </c:ser>
        <c:ser>
          <c:idx val="7"/>
          <c:order val="8"/>
          <c:tx>
            <c:strRef>
              <c:f>'O.S. Matrix (Informational)'!$J$36</c:f>
              <c:strCache>
                <c:ptCount val="1"/>
                <c:pt idx="0">
                  <c:v>13</c:v>
                </c:pt>
              </c:strCache>
            </c:strRef>
          </c:tx>
          <c:spPr>
            <a:ln w="28575" cap="rnd">
              <a:solidFill>
                <a:schemeClr val="accent1">
                  <a:shade val="80000"/>
                </a:schemeClr>
              </a:solidFill>
              <a:round/>
            </a:ln>
            <a:effectLst/>
          </c:spPr>
          <c:marker>
            <c:symbol val="none"/>
          </c:marker>
          <c:cat>
            <c:numRef>
              <c:f>'O.S. Matrix (Informational)'!$A$37:$A$56</c:f>
              <c:numCache>
                <c:formatCode>General</c:formatCode>
                <c:ptCount val="20"/>
                <c:pt idx="0">
                  <c:v>25</c:v>
                </c:pt>
                <c:pt idx="1">
                  <c:v>50</c:v>
                </c:pt>
                <c:pt idx="2">
                  <c:v>75</c:v>
                </c:pt>
                <c:pt idx="3">
                  <c:v>100</c:v>
                </c:pt>
                <c:pt idx="4">
                  <c:v>125</c:v>
                </c:pt>
                <c:pt idx="5">
                  <c:v>150</c:v>
                </c:pt>
                <c:pt idx="6">
                  <c:v>175</c:v>
                </c:pt>
                <c:pt idx="7">
                  <c:v>200</c:v>
                </c:pt>
                <c:pt idx="8">
                  <c:v>225</c:v>
                </c:pt>
                <c:pt idx="9">
                  <c:v>250</c:v>
                </c:pt>
                <c:pt idx="10">
                  <c:v>275</c:v>
                </c:pt>
                <c:pt idx="11">
                  <c:v>300</c:v>
                </c:pt>
                <c:pt idx="12">
                  <c:v>325</c:v>
                </c:pt>
                <c:pt idx="13">
                  <c:v>350</c:v>
                </c:pt>
                <c:pt idx="14">
                  <c:v>375</c:v>
                </c:pt>
                <c:pt idx="15">
                  <c:v>400</c:v>
                </c:pt>
                <c:pt idx="16">
                  <c:v>425</c:v>
                </c:pt>
                <c:pt idx="17">
                  <c:v>450</c:v>
                </c:pt>
                <c:pt idx="18">
                  <c:v>475</c:v>
                </c:pt>
                <c:pt idx="19">
                  <c:v>500</c:v>
                </c:pt>
              </c:numCache>
            </c:numRef>
          </c:cat>
          <c:val>
            <c:numRef>
              <c:f>'O.S. Matrix (Informational)'!$J$37:$J$56</c:f>
              <c:numCache>
                <c:formatCode>_(* #,##0.0_);_(* \(#,##0.0\);_(* "-"??_);_(@_)</c:formatCode>
                <c:ptCount val="20"/>
                <c:pt idx="0">
                  <c:v>0</c:v>
                </c:pt>
                <c:pt idx="1">
                  <c:v>0</c:v>
                </c:pt>
                <c:pt idx="2">
                  <c:v>0</c:v>
                </c:pt>
                <c:pt idx="3">
                  <c:v>0</c:v>
                </c:pt>
                <c:pt idx="4">
                  <c:v>2.0174012855831038</c:v>
                </c:pt>
                <c:pt idx="5">
                  <c:v>2.1608815426997245</c:v>
                </c:pt>
                <c:pt idx="6">
                  <c:v>2.3043617998163453</c:v>
                </c:pt>
                <c:pt idx="7">
                  <c:v>2.447842056932966</c:v>
                </c:pt>
                <c:pt idx="8">
                  <c:v>2.5913223140495867</c:v>
                </c:pt>
                <c:pt idx="9">
                  <c:v>2.7348025711662074</c:v>
                </c:pt>
                <c:pt idx="10">
                  <c:v>2.8782828282828281</c:v>
                </c:pt>
                <c:pt idx="11">
                  <c:v>3.0217630853994488</c:v>
                </c:pt>
                <c:pt idx="12">
                  <c:v>3.16524334251607</c:v>
                </c:pt>
                <c:pt idx="13">
                  <c:v>3.3087235996326907</c:v>
                </c:pt>
                <c:pt idx="14">
                  <c:v>3.4522038567493114</c:v>
                </c:pt>
                <c:pt idx="15">
                  <c:v>3.5956841138659321</c:v>
                </c:pt>
                <c:pt idx="16">
                  <c:v>3.7391643709825528</c:v>
                </c:pt>
                <c:pt idx="17">
                  <c:v>3.8826446280991735</c:v>
                </c:pt>
                <c:pt idx="18">
                  <c:v>4.0261248852157943</c:v>
                </c:pt>
                <c:pt idx="19">
                  <c:v>4.169605142332415</c:v>
                </c:pt>
              </c:numCache>
            </c:numRef>
          </c:val>
          <c:smooth val="0"/>
          <c:extLst>
            <c:ext xmlns:c16="http://schemas.microsoft.com/office/drawing/2014/chart" uri="{C3380CC4-5D6E-409C-BE32-E72D297353CC}">
              <c16:uniqueId val="{00000008-1E05-449D-BD92-D1343D1DFADF}"/>
            </c:ext>
          </c:extLst>
        </c:ser>
        <c:ser>
          <c:idx val="8"/>
          <c:order val="9"/>
          <c:tx>
            <c:strRef>
              <c:f>'O.S. Matrix (Informational)'!$K$36</c:f>
              <c:strCache>
                <c:ptCount val="1"/>
                <c:pt idx="0">
                  <c:v>14</c:v>
                </c:pt>
              </c:strCache>
            </c:strRef>
          </c:tx>
          <c:spPr>
            <a:ln w="28575" cap="rnd">
              <a:solidFill>
                <a:schemeClr val="accent1">
                  <a:shade val="87000"/>
                </a:schemeClr>
              </a:solidFill>
              <a:round/>
            </a:ln>
            <a:effectLst/>
          </c:spPr>
          <c:marker>
            <c:symbol val="none"/>
          </c:marker>
          <c:cat>
            <c:numRef>
              <c:f>'O.S. Matrix (Informational)'!$A$37:$A$56</c:f>
              <c:numCache>
                <c:formatCode>General</c:formatCode>
                <c:ptCount val="20"/>
                <c:pt idx="0">
                  <c:v>25</c:v>
                </c:pt>
                <c:pt idx="1">
                  <c:v>50</c:v>
                </c:pt>
                <c:pt idx="2">
                  <c:v>75</c:v>
                </c:pt>
                <c:pt idx="3">
                  <c:v>100</c:v>
                </c:pt>
                <c:pt idx="4">
                  <c:v>125</c:v>
                </c:pt>
                <c:pt idx="5">
                  <c:v>150</c:v>
                </c:pt>
                <c:pt idx="6">
                  <c:v>175</c:v>
                </c:pt>
                <c:pt idx="7">
                  <c:v>200</c:v>
                </c:pt>
                <c:pt idx="8">
                  <c:v>225</c:v>
                </c:pt>
                <c:pt idx="9">
                  <c:v>250</c:v>
                </c:pt>
                <c:pt idx="10">
                  <c:v>275</c:v>
                </c:pt>
                <c:pt idx="11">
                  <c:v>300</c:v>
                </c:pt>
                <c:pt idx="12">
                  <c:v>325</c:v>
                </c:pt>
                <c:pt idx="13">
                  <c:v>350</c:v>
                </c:pt>
                <c:pt idx="14">
                  <c:v>375</c:v>
                </c:pt>
                <c:pt idx="15">
                  <c:v>400</c:v>
                </c:pt>
                <c:pt idx="16">
                  <c:v>425</c:v>
                </c:pt>
                <c:pt idx="17">
                  <c:v>450</c:v>
                </c:pt>
                <c:pt idx="18">
                  <c:v>475</c:v>
                </c:pt>
                <c:pt idx="19">
                  <c:v>500</c:v>
                </c:pt>
              </c:numCache>
            </c:numRef>
          </c:cat>
          <c:val>
            <c:numRef>
              <c:f>'O.S. Matrix (Informational)'!$K$37:$K$56</c:f>
              <c:numCache>
                <c:formatCode>_(* #,##0.0_);_(* \(#,##0.0\);_(* "-"??_);_(@_)</c:formatCode>
                <c:ptCount val="20"/>
                <c:pt idx="0">
                  <c:v>0</c:v>
                </c:pt>
                <c:pt idx="1">
                  <c:v>0</c:v>
                </c:pt>
                <c:pt idx="2">
                  <c:v>0</c:v>
                </c:pt>
                <c:pt idx="3">
                  <c:v>0</c:v>
                </c:pt>
                <c:pt idx="4">
                  <c:v>2.1174012855831039</c:v>
                </c:pt>
                <c:pt idx="5">
                  <c:v>2.2608815426997246</c:v>
                </c:pt>
                <c:pt idx="6">
                  <c:v>2.4043617998163453</c:v>
                </c:pt>
                <c:pt idx="7">
                  <c:v>2.5478420569329661</c:v>
                </c:pt>
                <c:pt idx="8">
                  <c:v>2.6913223140495868</c:v>
                </c:pt>
                <c:pt idx="9">
                  <c:v>2.8348025711662075</c:v>
                </c:pt>
                <c:pt idx="10">
                  <c:v>2.9782828282828282</c:v>
                </c:pt>
                <c:pt idx="11">
                  <c:v>3.1217630853994489</c:v>
                </c:pt>
                <c:pt idx="12">
                  <c:v>3.2652433425160696</c:v>
                </c:pt>
                <c:pt idx="13">
                  <c:v>3.4087235996326903</c:v>
                </c:pt>
                <c:pt idx="14">
                  <c:v>3.5522038567493115</c:v>
                </c:pt>
                <c:pt idx="15">
                  <c:v>3.6956841138659322</c:v>
                </c:pt>
                <c:pt idx="16">
                  <c:v>3.8391643709825529</c:v>
                </c:pt>
                <c:pt idx="17">
                  <c:v>3.9826446280991736</c:v>
                </c:pt>
                <c:pt idx="18">
                  <c:v>4.1261248852157939</c:v>
                </c:pt>
                <c:pt idx="19">
                  <c:v>4.2696051423324146</c:v>
                </c:pt>
              </c:numCache>
            </c:numRef>
          </c:val>
          <c:smooth val="0"/>
          <c:extLst>
            <c:ext xmlns:c16="http://schemas.microsoft.com/office/drawing/2014/chart" uri="{C3380CC4-5D6E-409C-BE32-E72D297353CC}">
              <c16:uniqueId val="{00000009-1E05-449D-BD92-D1343D1DFADF}"/>
            </c:ext>
          </c:extLst>
        </c:ser>
        <c:ser>
          <c:idx val="9"/>
          <c:order val="10"/>
          <c:tx>
            <c:strRef>
              <c:f>'O.S. Matrix (Informational)'!$L$36</c:f>
              <c:strCache>
                <c:ptCount val="1"/>
                <c:pt idx="0">
                  <c:v>15</c:v>
                </c:pt>
              </c:strCache>
            </c:strRef>
          </c:tx>
          <c:spPr>
            <a:ln w="28575" cap="rnd">
              <a:solidFill>
                <a:schemeClr val="accent1">
                  <a:shade val="93000"/>
                </a:schemeClr>
              </a:solidFill>
              <a:round/>
            </a:ln>
            <a:effectLst/>
          </c:spPr>
          <c:marker>
            <c:symbol val="none"/>
          </c:marker>
          <c:cat>
            <c:numRef>
              <c:f>'O.S. Matrix (Informational)'!$A$37:$A$56</c:f>
              <c:numCache>
                <c:formatCode>General</c:formatCode>
                <c:ptCount val="20"/>
                <c:pt idx="0">
                  <c:v>25</c:v>
                </c:pt>
                <c:pt idx="1">
                  <c:v>50</c:v>
                </c:pt>
                <c:pt idx="2">
                  <c:v>75</c:v>
                </c:pt>
                <c:pt idx="3">
                  <c:v>100</c:v>
                </c:pt>
                <c:pt idx="4">
                  <c:v>125</c:v>
                </c:pt>
                <c:pt idx="5">
                  <c:v>150</c:v>
                </c:pt>
                <c:pt idx="6">
                  <c:v>175</c:v>
                </c:pt>
                <c:pt idx="7">
                  <c:v>200</c:v>
                </c:pt>
                <c:pt idx="8">
                  <c:v>225</c:v>
                </c:pt>
                <c:pt idx="9">
                  <c:v>250</c:v>
                </c:pt>
                <c:pt idx="10">
                  <c:v>275</c:v>
                </c:pt>
                <c:pt idx="11">
                  <c:v>300</c:v>
                </c:pt>
                <c:pt idx="12">
                  <c:v>325</c:v>
                </c:pt>
                <c:pt idx="13">
                  <c:v>350</c:v>
                </c:pt>
                <c:pt idx="14">
                  <c:v>375</c:v>
                </c:pt>
                <c:pt idx="15">
                  <c:v>400</c:v>
                </c:pt>
                <c:pt idx="16">
                  <c:v>425</c:v>
                </c:pt>
                <c:pt idx="17">
                  <c:v>450</c:v>
                </c:pt>
                <c:pt idx="18">
                  <c:v>475</c:v>
                </c:pt>
                <c:pt idx="19">
                  <c:v>500</c:v>
                </c:pt>
              </c:numCache>
            </c:numRef>
          </c:cat>
          <c:val>
            <c:numRef>
              <c:f>'O.S. Matrix (Informational)'!$L$37:$L$56</c:f>
              <c:numCache>
                <c:formatCode>_(* #,##0.0_);_(* \(#,##0.0\);_(* "-"??_);_(@_)</c:formatCode>
                <c:ptCount val="20"/>
                <c:pt idx="0">
                  <c:v>0</c:v>
                </c:pt>
                <c:pt idx="1">
                  <c:v>0</c:v>
                </c:pt>
                <c:pt idx="2">
                  <c:v>0</c:v>
                </c:pt>
                <c:pt idx="3">
                  <c:v>0</c:v>
                </c:pt>
                <c:pt idx="4">
                  <c:v>2.2174012855831036</c:v>
                </c:pt>
                <c:pt idx="5">
                  <c:v>2.3608815426997247</c:v>
                </c:pt>
                <c:pt idx="6">
                  <c:v>2.5043617998163454</c:v>
                </c:pt>
                <c:pt idx="7">
                  <c:v>2.6478420569329661</c:v>
                </c:pt>
                <c:pt idx="8">
                  <c:v>2.7913223140495869</c:v>
                </c:pt>
                <c:pt idx="9">
                  <c:v>2.9348025711662076</c:v>
                </c:pt>
                <c:pt idx="10">
                  <c:v>3.0782828282828283</c:v>
                </c:pt>
                <c:pt idx="11">
                  <c:v>3.221763085399449</c:v>
                </c:pt>
                <c:pt idx="12">
                  <c:v>3.3652433425160697</c:v>
                </c:pt>
                <c:pt idx="13">
                  <c:v>3.5087235996326904</c:v>
                </c:pt>
                <c:pt idx="14">
                  <c:v>3.6522038567493111</c:v>
                </c:pt>
                <c:pt idx="15">
                  <c:v>3.7956841138659319</c:v>
                </c:pt>
                <c:pt idx="16">
                  <c:v>3.939164370982553</c:v>
                </c:pt>
                <c:pt idx="17">
                  <c:v>4.0826446280991737</c:v>
                </c:pt>
                <c:pt idx="18">
                  <c:v>4.2261248852157944</c:v>
                </c:pt>
                <c:pt idx="19">
                  <c:v>4.3696051423324151</c:v>
                </c:pt>
              </c:numCache>
            </c:numRef>
          </c:val>
          <c:smooth val="0"/>
          <c:extLst>
            <c:ext xmlns:c16="http://schemas.microsoft.com/office/drawing/2014/chart" uri="{C3380CC4-5D6E-409C-BE32-E72D297353CC}">
              <c16:uniqueId val="{0000000A-1E05-449D-BD92-D1343D1DFADF}"/>
            </c:ext>
          </c:extLst>
        </c:ser>
        <c:ser>
          <c:idx val="10"/>
          <c:order val="11"/>
          <c:tx>
            <c:strRef>
              <c:f>'O.S. Matrix (Informational)'!$M$36</c:f>
              <c:strCache>
                <c:ptCount val="1"/>
                <c:pt idx="0">
                  <c:v>16</c:v>
                </c:pt>
              </c:strCache>
            </c:strRef>
          </c:tx>
          <c:spPr>
            <a:ln w="28575" cap="rnd">
              <a:solidFill>
                <a:schemeClr val="accent1"/>
              </a:solidFill>
              <a:round/>
            </a:ln>
            <a:effectLst/>
          </c:spPr>
          <c:marker>
            <c:symbol val="none"/>
          </c:marker>
          <c:cat>
            <c:numRef>
              <c:f>'O.S. Matrix (Informational)'!$A$37:$A$56</c:f>
              <c:numCache>
                <c:formatCode>General</c:formatCode>
                <c:ptCount val="20"/>
                <c:pt idx="0">
                  <c:v>25</c:v>
                </c:pt>
                <c:pt idx="1">
                  <c:v>50</c:v>
                </c:pt>
                <c:pt idx="2">
                  <c:v>75</c:v>
                </c:pt>
                <c:pt idx="3">
                  <c:v>100</c:v>
                </c:pt>
                <c:pt idx="4">
                  <c:v>125</c:v>
                </c:pt>
                <c:pt idx="5">
                  <c:v>150</c:v>
                </c:pt>
                <c:pt idx="6">
                  <c:v>175</c:v>
                </c:pt>
                <c:pt idx="7">
                  <c:v>200</c:v>
                </c:pt>
                <c:pt idx="8">
                  <c:v>225</c:v>
                </c:pt>
                <c:pt idx="9">
                  <c:v>250</c:v>
                </c:pt>
                <c:pt idx="10">
                  <c:v>275</c:v>
                </c:pt>
                <c:pt idx="11">
                  <c:v>300</c:v>
                </c:pt>
                <c:pt idx="12">
                  <c:v>325</c:v>
                </c:pt>
                <c:pt idx="13">
                  <c:v>350</c:v>
                </c:pt>
                <c:pt idx="14">
                  <c:v>375</c:v>
                </c:pt>
                <c:pt idx="15">
                  <c:v>400</c:v>
                </c:pt>
                <c:pt idx="16">
                  <c:v>425</c:v>
                </c:pt>
                <c:pt idx="17">
                  <c:v>450</c:v>
                </c:pt>
                <c:pt idx="18">
                  <c:v>475</c:v>
                </c:pt>
                <c:pt idx="19">
                  <c:v>500</c:v>
                </c:pt>
              </c:numCache>
            </c:numRef>
          </c:cat>
          <c:val>
            <c:numRef>
              <c:f>'O.S. Matrix (Informational)'!$M$37:$M$56</c:f>
              <c:numCache>
                <c:formatCode>_(* #,##0.0_);_(* \(#,##0.0\);_(* "-"??_);_(@_)</c:formatCode>
                <c:ptCount val="20"/>
                <c:pt idx="0">
                  <c:v>0</c:v>
                </c:pt>
                <c:pt idx="1">
                  <c:v>0</c:v>
                </c:pt>
                <c:pt idx="2">
                  <c:v>0</c:v>
                </c:pt>
                <c:pt idx="3">
                  <c:v>0</c:v>
                </c:pt>
                <c:pt idx="4">
                  <c:v>0</c:v>
                </c:pt>
                <c:pt idx="5">
                  <c:v>2.4608815426997244</c:v>
                </c:pt>
                <c:pt idx="6">
                  <c:v>2.6043617998163451</c:v>
                </c:pt>
                <c:pt idx="7">
                  <c:v>2.7478420569329662</c:v>
                </c:pt>
                <c:pt idx="8">
                  <c:v>2.891322314049587</c:v>
                </c:pt>
                <c:pt idx="9">
                  <c:v>3.0348025711662077</c:v>
                </c:pt>
                <c:pt idx="10">
                  <c:v>3.1782828282828284</c:v>
                </c:pt>
                <c:pt idx="11">
                  <c:v>3.3217630853994491</c:v>
                </c:pt>
                <c:pt idx="12">
                  <c:v>3.4652433425160698</c:v>
                </c:pt>
                <c:pt idx="13">
                  <c:v>3.6087235996326905</c:v>
                </c:pt>
                <c:pt idx="14">
                  <c:v>3.7522038567493112</c:v>
                </c:pt>
                <c:pt idx="15">
                  <c:v>3.8956841138659319</c:v>
                </c:pt>
                <c:pt idx="16">
                  <c:v>4.0391643709825527</c:v>
                </c:pt>
                <c:pt idx="17">
                  <c:v>4.1826446280991734</c:v>
                </c:pt>
                <c:pt idx="18">
                  <c:v>4.3261248852157941</c:v>
                </c:pt>
                <c:pt idx="19">
                  <c:v>4.4696051423324148</c:v>
                </c:pt>
              </c:numCache>
            </c:numRef>
          </c:val>
          <c:smooth val="0"/>
          <c:extLst>
            <c:ext xmlns:c16="http://schemas.microsoft.com/office/drawing/2014/chart" uri="{C3380CC4-5D6E-409C-BE32-E72D297353CC}">
              <c16:uniqueId val="{0000000B-1E05-449D-BD92-D1343D1DFADF}"/>
            </c:ext>
          </c:extLst>
        </c:ser>
        <c:ser>
          <c:idx val="11"/>
          <c:order val="12"/>
          <c:tx>
            <c:strRef>
              <c:f>'O.S. Matrix (Informational)'!$N$36</c:f>
              <c:strCache>
                <c:ptCount val="1"/>
                <c:pt idx="0">
                  <c:v>17</c:v>
                </c:pt>
              </c:strCache>
            </c:strRef>
          </c:tx>
          <c:spPr>
            <a:ln w="28575" cap="rnd">
              <a:solidFill>
                <a:schemeClr val="accent1">
                  <a:tint val="94000"/>
                </a:schemeClr>
              </a:solidFill>
              <a:round/>
            </a:ln>
            <a:effectLst/>
          </c:spPr>
          <c:marker>
            <c:symbol val="none"/>
          </c:marker>
          <c:cat>
            <c:numRef>
              <c:f>'O.S. Matrix (Informational)'!$A$37:$A$56</c:f>
              <c:numCache>
                <c:formatCode>General</c:formatCode>
                <c:ptCount val="20"/>
                <c:pt idx="0">
                  <c:v>25</c:v>
                </c:pt>
                <c:pt idx="1">
                  <c:v>50</c:v>
                </c:pt>
                <c:pt idx="2">
                  <c:v>75</c:v>
                </c:pt>
                <c:pt idx="3">
                  <c:v>100</c:v>
                </c:pt>
                <c:pt idx="4">
                  <c:v>125</c:v>
                </c:pt>
                <c:pt idx="5">
                  <c:v>150</c:v>
                </c:pt>
                <c:pt idx="6">
                  <c:v>175</c:v>
                </c:pt>
                <c:pt idx="7">
                  <c:v>200</c:v>
                </c:pt>
                <c:pt idx="8">
                  <c:v>225</c:v>
                </c:pt>
                <c:pt idx="9">
                  <c:v>250</c:v>
                </c:pt>
                <c:pt idx="10">
                  <c:v>275</c:v>
                </c:pt>
                <c:pt idx="11">
                  <c:v>300</c:v>
                </c:pt>
                <c:pt idx="12">
                  <c:v>325</c:v>
                </c:pt>
                <c:pt idx="13">
                  <c:v>350</c:v>
                </c:pt>
                <c:pt idx="14">
                  <c:v>375</c:v>
                </c:pt>
                <c:pt idx="15">
                  <c:v>400</c:v>
                </c:pt>
                <c:pt idx="16">
                  <c:v>425</c:v>
                </c:pt>
                <c:pt idx="17">
                  <c:v>450</c:v>
                </c:pt>
                <c:pt idx="18">
                  <c:v>475</c:v>
                </c:pt>
                <c:pt idx="19">
                  <c:v>500</c:v>
                </c:pt>
              </c:numCache>
            </c:numRef>
          </c:cat>
          <c:val>
            <c:numRef>
              <c:f>'O.S. Matrix (Informational)'!$N$37:$N$56</c:f>
              <c:numCache>
                <c:formatCode>_(* #,##0.0_);_(* \(#,##0.0\);_(* "-"??_);_(@_)</c:formatCode>
                <c:ptCount val="20"/>
                <c:pt idx="0">
                  <c:v>0</c:v>
                </c:pt>
                <c:pt idx="1">
                  <c:v>0</c:v>
                </c:pt>
                <c:pt idx="2">
                  <c:v>0</c:v>
                </c:pt>
                <c:pt idx="3">
                  <c:v>0</c:v>
                </c:pt>
                <c:pt idx="4">
                  <c:v>0</c:v>
                </c:pt>
                <c:pt idx="5">
                  <c:v>2.5608815426997249</c:v>
                </c:pt>
                <c:pt idx="6">
                  <c:v>2.7043617998163456</c:v>
                </c:pt>
                <c:pt idx="7">
                  <c:v>2.8478420569329663</c:v>
                </c:pt>
                <c:pt idx="8">
                  <c:v>2.991322314049587</c:v>
                </c:pt>
                <c:pt idx="9">
                  <c:v>3.1348025711662073</c:v>
                </c:pt>
                <c:pt idx="10">
                  <c:v>3.2782828282828285</c:v>
                </c:pt>
                <c:pt idx="11">
                  <c:v>3.4217630853994492</c:v>
                </c:pt>
                <c:pt idx="12">
                  <c:v>3.5652433425160699</c:v>
                </c:pt>
                <c:pt idx="13">
                  <c:v>3.7087235996326906</c:v>
                </c:pt>
                <c:pt idx="14">
                  <c:v>3.8522038567493113</c:v>
                </c:pt>
                <c:pt idx="15">
                  <c:v>3.995684113865932</c:v>
                </c:pt>
                <c:pt idx="16">
                  <c:v>4.1391643709825532</c:v>
                </c:pt>
                <c:pt idx="17">
                  <c:v>4.2826446280991739</c:v>
                </c:pt>
                <c:pt idx="18">
                  <c:v>4.4261248852157946</c:v>
                </c:pt>
                <c:pt idx="19">
                  <c:v>4.5696051423324153</c:v>
                </c:pt>
              </c:numCache>
            </c:numRef>
          </c:val>
          <c:smooth val="0"/>
          <c:extLst>
            <c:ext xmlns:c16="http://schemas.microsoft.com/office/drawing/2014/chart" uri="{C3380CC4-5D6E-409C-BE32-E72D297353CC}">
              <c16:uniqueId val="{0000000C-1E05-449D-BD92-D1343D1DFADF}"/>
            </c:ext>
          </c:extLst>
        </c:ser>
        <c:ser>
          <c:idx val="12"/>
          <c:order val="13"/>
          <c:tx>
            <c:strRef>
              <c:f>'O.S. Matrix (Informational)'!$O$36</c:f>
              <c:strCache>
                <c:ptCount val="1"/>
                <c:pt idx="0">
                  <c:v>18</c:v>
                </c:pt>
              </c:strCache>
            </c:strRef>
          </c:tx>
          <c:spPr>
            <a:ln w="28575" cap="rnd">
              <a:solidFill>
                <a:schemeClr val="accent1">
                  <a:tint val="88000"/>
                </a:schemeClr>
              </a:solidFill>
              <a:round/>
            </a:ln>
            <a:effectLst/>
          </c:spPr>
          <c:marker>
            <c:symbol val="none"/>
          </c:marker>
          <c:cat>
            <c:numRef>
              <c:f>'O.S. Matrix (Informational)'!$A$37:$A$56</c:f>
              <c:numCache>
                <c:formatCode>General</c:formatCode>
                <c:ptCount val="20"/>
                <c:pt idx="0">
                  <c:v>25</c:v>
                </c:pt>
                <c:pt idx="1">
                  <c:v>50</c:v>
                </c:pt>
                <c:pt idx="2">
                  <c:v>75</c:v>
                </c:pt>
                <c:pt idx="3">
                  <c:v>100</c:v>
                </c:pt>
                <c:pt idx="4">
                  <c:v>125</c:v>
                </c:pt>
                <c:pt idx="5">
                  <c:v>150</c:v>
                </c:pt>
                <c:pt idx="6">
                  <c:v>175</c:v>
                </c:pt>
                <c:pt idx="7">
                  <c:v>200</c:v>
                </c:pt>
                <c:pt idx="8">
                  <c:v>225</c:v>
                </c:pt>
                <c:pt idx="9">
                  <c:v>250</c:v>
                </c:pt>
                <c:pt idx="10">
                  <c:v>275</c:v>
                </c:pt>
                <c:pt idx="11">
                  <c:v>300</c:v>
                </c:pt>
                <c:pt idx="12">
                  <c:v>325</c:v>
                </c:pt>
                <c:pt idx="13">
                  <c:v>350</c:v>
                </c:pt>
                <c:pt idx="14">
                  <c:v>375</c:v>
                </c:pt>
                <c:pt idx="15">
                  <c:v>400</c:v>
                </c:pt>
                <c:pt idx="16">
                  <c:v>425</c:v>
                </c:pt>
                <c:pt idx="17">
                  <c:v>450</c:v>
                </c:pt>
                <c:pt idx="18">
                  <c:v>475</c:v>
                </c:pt>
                <c:pt idx="19">
                  <c:v>500</c:v>
                </c:pt>
              </c:numCache>
            </c:numRef>
          </c:cat>
          <c:val>
            <c:numRef>
              <c:f>'O.S. Matrix (Informational)'!$O$37:$O$56</c:f>
              <c:numCache>
                <c:formatCode>_(* #,##0.0_);_(* \(#,##0.0\);_(* "-"??_);_(@_)</c:formatCode>
                <c:ptCount val="20"/>
                <c:pt idx="0">
                  <c:v>0</c:v>
                </c:pt>
                <c:pt idx="1">
                  <c:v>0</c:v>
                </c:pt>
                <c:pt idx="2">
                  <c:v>0</c:v>
                </c:pt>
                <c:pt idx="3">
                  <c:v>0</c:v>
                </c:pt>
                <c:pt idx="4">
                  <c:v>0</c:v>
                </c:pt>
                <c:pt idx="5">
                  <c:v>2.6608815426997245</c:v>
                </c:pt>
                <c:pt idx="6">
                  <c:v>2.8043617998163453</c:v>
                </c:pt>
                <c:pt idx="7">
                  <c:v>2.947842056932966</c:v>
                </c:pt>
                <c:pt idx="8">
                  <c:v>3.0913223140495867</c:v>
                </c:pt>
                <c:pt idx="9">
                  <c:v>3.2348025711662074</c:v>
                </c:pt>
                <c:pt idx="10">
                  <c:v>3.3782828282828281</c:v>
                </c:pt>
                <c:pt idx="11">
                  <c:v>3.5217630853994488</c:v>
                </c:pt>
                <c:pt idx="12">
                  <c:v>3.66524334251607</c:v>
                </c:pt>
                <c:pt idx="13">
                  <c:v>3.8087235996326907</c:v>
                </c:pt>
                <c:pt idx="14">
                  <c:v>3.9522038567493114</c:v>
                </c:pt>
                <c:pt idx="15">
                  <c:v>4.0956841138659321</c:v>
                </c:pt>
                <c:pt idx="16">
                  <c:v>4.2391643709825528</c:v>
                </c:pt>
                <c:pt idx="17">
                  <c:v>4.3826446280991735</c:v>
                </c:pt>
                <c:pt idx="18">
                  <c:v>4.5261248852157943</c:v>
                </c:pt>
                <c:pt idx="19">
                  <c:v>4.669605142332415</c:v>
                </c:pt>
              </c:numCache>
            </c:numRef>
          </c:val>
          <c:smooth val="0"/>
          <c:extLst>
            <c:ext xmlns:c16="http://schemas.microsoft.com/office/drawing/2014/chart" uri="{C3380CC4-5D6E-409C-BE32-E72D297353CC}">
              <c16:uniqueId val="{0000000D-1E05-449D-BD92-D1343D1DFADF}"/>
            </c:ext>
          </c:extLst>
        </c:ser>
        <c:ser>
          <c:idx val="13"/>
          <c:order val="14"/>
          <c:tx>
            <c:strRef>
              <c:f>'O.S. Matrix (Informational)'!$P$36</c:f>
              <c:strCache>
                <c:ptCount val="1"/>
                <c:pt idx="0">
                  <c:v>19</c:v>
                </c:pt>
              </c:strCache>
            </c:strRef>
          </c:tx>
          <c:spPr>
            <a:ln w="28575" cap="rnd">
              <a:solidFill>
                <a:schemeClr val="accent1">
                  <a:tint val="81000"/>
                </a:schemeClr>
              </a:solidFill>
              <a:round/>
            </a:ln>
            <a:effectLst/>
          </c:spPr>
          <c:marker>
            <c:symbol val="none"/>
          </c:marker>
          <c:cat>
            <c:numRef>
              <c:f>'O.S. Matrix (Informational)'!$A$37:$A$56</c:f>
              <c:numCache>
                <c:formatCode>General</c:formatCode>
                <c:ptCount val="20"/>
                <c:pt idx="0">
                  <c:v>25</c:v>
                </c:pt>
                <c:pt idx="1">
                  <c:v>50</c:v>
                </c:pt>
                <c:pt idx="2">
                  <c:v>75</c:v>
                </c:pt>
                <c:pt idx="3">
                  <c:v>100</c:v>
                </c:pt>
                <c:pt idx="4">
                  <c:v>125</c:v>
                </c:pt>
                <c:pt idx="5">
                  <c:v>150</c:v>
                </c:pt>
                <c:pt idx="6">
                  <c:v>175</c:v>
                </c:pt>
                <c:pt idx="7">
                  <c:v>200</c:v>
                </c:pt>
                <c:pt idx="8">
                  <c:v>225</c:v>
                </c:pt>
                <c:pt idx="9">
                  <c:v>250</c:v>
                </c:pt>
                <c:pt idx="10">
                  <c:v>275</c:v>
                </c:pt>
                <c:pt idx="11">
                  <c:v>300</c:v>
                </c:pt>
                <c:pt idx="12">
                  <c:v>325</c:v>
                </c:pt>
                <c:pt idx="13">
                  <c:v>350</c:v>
                </c:pt>
                <c:pt idx="14">
                  <c:v>375</c:v>
                </c:pt>
                <c:pt idx="15">
                  <c:v>400</c:v>
                </c:pt>
                <c:pt idx="16">
                  <c:v>425</c:v>
                </c:pt>
                <c:pt idx="17">
                  <c:v>450</c:v>
                </c:pt>
                <c:pt idx="18">
                  <c:v>475</c:v>
                </c:pt>
                <c:pt idx="19">
                  <c:v>500</c:v>
                </c:pt>
              </c:numCache>
            </c:numRef>
          </c:cat>
          <c:val>
            <c:numRef>
              <c:f>'O.S. Matrix (Informational)'!$P$37:$P$56</c:f>
              <c:numCache>
                <c:formatCode>_(* #,##0.0_);_(* \(#,##0.0\);_(* "-"??_);_(@_)</c:formatCode>
                <c:ptCount val="20"/>
                <c:pt idx="0">
                  <c:v>0</c:v>
                </c:pt>
                <c:pt idx="1">
                  <c:v>0</c:v>
                </c:pt>
                <c:pt idx="2">
                  <c:v>0</c:v>
                </c:pt>
                <c:pt idx="3">
                  <c:v>0</c:v>
                </c:pt>
                <c:pt idx="4">
                  <c:v>0</c:v>
                </c:pt>
                <c:pt idx="5">
                  <c:v>0</c:v>
                </c:pt>
                <c:pt idx="6">
                  <c:v>2.9043617998163453</c:v>
                </c:pt>
                <c:pt idx="7">
                  <c:v>3.0478420569329661</c:v>
                </c:pt>
                <c:pt idx="8">
                  <c:v>3.1913223140495868</c:v>
                </c:pt>
                <c:pt idx="9">
                  <c:v>3.3348025711662075</c:v>
                </c:pt>
                <c:pt idx="10">
                  <c:v>3.4782828282828282</c:v>
                </c:pt>
                <c:pt idx="11">
                  <c:v>3.6217630853994489</c:v>
                </c:pt>
                <c:pt idx="12">
                  <c:v>3.7652433425160696</c:v>
                </c:pt>
                <c:pt idx="13">
                  <c:v>3.9087235996326903</c:v>
                </c:pt>
                <c:pt idx="14">
                  <c:v>4.0522038567493111</c:v>
                </c:pt>
                <c:pt idx="15">
                  <c:v>4.1956841138659318</c:v>
                </c:pt>
                <c:pt idx="16">
                  <c:v>4.3391643709825525</c:v>
                </c:pt>
                <c:pt idx="17">
                  <c:v>4.4826446280991732</c:v>
                </c:pt>
                <c:pt idx="18">
                  <c:v>4.6261248852157939</c:v>
                </c:pt>
                <c:pt idx="19">
                  <c:v>4.7696051423324146</c:v>
                </c:pt>
              </c:numCache>
            </c:numRef>
          </c:val>
          <c:smooth val="0"/>
          <c:extLst>
            <c:ext xmlns:c16="http://schemas.microsoft.com/office/drawing/2014/chart" uri="{C3380CC4-5D6E-409C-BE32-E72D297353CC}">
              <c16:uniqueId val="{0000000E-1E05-449D-BD92-D1343D1DFADF}"/>
            </c:ext>
          </c:extLst>
        </c:ser>
        <c:ser>
          <c:idx val="14"/>
          <c:order val="15"/>
          <c:tx>
            <c:strRef>
              <c:f>'O.S. Matrix (Informational)'!$Q$36</c:f>
              <c:strCache>
                <c:ptCount val="1"/>
                <c:pt idx="0">
                  <c:v>20</c:v>
                </c:pt>
              </c:strCache>
            </c:strRef>
          </c:tx>
          <c:spPr>
            <a:ln w="28575" cap="rnd">
              <a:solidFill>
                <a:schemeClr val="accent1">
                  <a:tint val="75000"/>
                </a:schemeClr>
              </a:solidFill>
              <a:round/>
            </a:ln>
            <a:effectLst/>
          </c:spPr>
          <c:marker>
            <c:symbol val="none"/>
          </c:marker>
          <c:cat>
            <c:numRef>
              <c:f>'O.S. Matrix (Informational)'!$A$37:$A$56</c:f>
              <c:numCache>
                <c:formatCode>General</c:formatCode>
                <c:ptCount val="20"/>
                <c:pt idx="0">
                  <c:v>25</c:v>
                </c:pt>
                <c:pt idx="1">
                  <c:v>50</c:v>
                </c:pt>
                <c:pt idx="2">
                  <c:v>75</c:v>
                </c:pt>
                <c:pt idx="3">
                  <c:v>100</c:v>
                </c:pt>
                <c:pt idx="4">
                  <c:v>125</c:v>
                </c:pt>
                <c:pt idx="5">
                  <c:v>150</c:v>
                </c:pt>
                <c:pt idx="6">
                  <c:v>175</c:v>
                </c:pt>
                <c:pt idx="7">
                  <c:v>200</c:v>
                </c:pt>
                <c:pt idx="8">
                  <c:v>225</c:v>
                </c:pt>
                <c:pt idx="9">
                  <c:v>250</c:v>
                </c:pt>
                <c:pt idx="10">
                  <c:v>275</c:v>
                </c:pt>
                <c:pt idx="11">
                  <c:v>300</c:v>
                </c:pt>
                <c:pt idx="12">
                  <c:v>325</c:v>
                </c:pt>
                <c:pt idx="13">
                  <c:v>350</c:v>
                </c:pt>
                <c:pt idx="14">
                  <c:v>375</c:v>
                </c:pt>
                <c:pt idx="15">
                  <c:v>400</c:v>
                </c:pt>
                <c:pt idx="16">
                  <c:v>425</c:v>
                </c:pt>
                <c:pt idx="17">
                  <c:v>450</c:v>
                </c:pt>
                <c:pt idx="18">
                  <c:v>475</c:v>
                </c:pt>
                <c:pt idx="19">
                  <c:v>500</c:v>
                </c:pt>
              </c:numCache>
            </c:numRef>
          </c:cat>
          <c:val>
            <c:numRef>
              <c:f>'O.S. Matrix (Informational)'!$Q$37:$Q$56</c:f>
              <c:numCache>
                <c:formatCode>_(* #,##0.0_);_(* \(#,##0.0\);_(* "-"??_);_(@_)</c:formatCode>
                <c:ptCount val="20"/>
                <c:pt idx="0">
                  <c:v>0</c:v>
                </c:pt>
                <c:pt idx="1">
                  <c:v>0</c:v>
                </c:pt>
                <c:pt idx="2">
                  <c:v>0</c:v>
                </c:pt>
                <c:pt idx="3">
                  <c:v>0</c:v>
                </c:pt>
                <c:pt idx="4">
                  <c:v>0</c:v>
                </c:pt>
                <c:pt idx="5">
                  <c:v>0</c:v>
                </c:pt>
                <c:pt idx="6">
                  <c:v>3.0043617998163454</c:v>
                </c:pt>
                <c:pt idx="7">
                  <c:v>3.1478420569329661</c:v>
                </c:pt>
                <c:pt idx="8">
                  <c:v>3.2913223140495869</c:v>
                </c:pt>
                <c:pt idx="9">
                  <c:v>3.4348025711662076</c:v>
                </c:pt>
                <c:pt idx="10">
                  <c:v>3.5782828282828283</c:v>
                </c:pt>
                <c:pt idx="11">
                  <c:v>3.721763085399449</c:v>
                </c:pt>
                <c:pt idx="12">
                  <c:v>3.8652433425160697</c:v>
                </c:pt>
                <c:pt idx="13">
                  <c:v>4.0087235996326909</c:v>
                </c:pt>
                <c:pt idx="14">
                  <c:v>4.1522038567493116</c:v>
                </c:pt>
                <c:pt idx="15">
                  <c:v>4.2956841138659323</c:v>
                </c:pt>
                <c:pt idx="16">
                  <c:v>4.439164370982553</c:v>
                </c:pt>
                <c:pt idx="17">
                  <c:v>4.5826446280991737</c:v>
                </c:pt>
                <c:pt idx="18">
                  <c:v>4.7261248852157944</c:v>
                </c:pt>
                <c:pt idx="19">
                  <c:v>4.8696051423324151</c:v>
                </c:pt>
              </c:numCache>
            </c:numRef>
          </c:val>
          <c:smooth val="0"/>
          <c:extLst>
            <c:ext xmlns:c16="http://schemas.microsoft.com/office/drawing/2014/chart" uri="{C3380CC4-5D6E-409C-BE32-E72D297353CC}">
              <c16:uniqueId val="{0000000F-1E05-449D-BD92-D1343D1DFADF}"/>
            </c:ext>
          </c:extLst>
        </c:ser>
        <c:ser>
          <c:idx val="15"/>
          <c:order val="16"/>
          <c:tx>
            <c:strRef>
              <c:f>'O.S. Matrix (Informational)'!#REF!</c:f>
              <c:strCache>
                <c:ptCount val="1"/>
                <c:pt idx="0">
                  <c:v>#REF!</c:v>
                </c:pt>
              </c:strCache>
            </c:strRef>
          </c:tx>
          <c:spPr>
            <a:ln w="28575" cap="rnd">
              <a:solidFill>
                <a:schemeClr val="accent1">
                  <a:tint val="69000"/>
                </a:schemeClr>
              </a:solidFill>
              <a:round/>
            </a:ln>
            <a:effectLst/>
          </c:spPr>
          <c:marker>
            <c:symbol val="none"/>
          </c:marker>
          <c:cat>
            <c:numRef>
              <c:f>'O.S. Matrix (Informational)'!$A$37:$A$56</c:f>
              <c:numCache>
                <c:formatCode>General</c:formatCode>
                <c:ptCount val="20"/>
                <c:pt idx="0">
                  <c:v>25</c:v>
                </c:pt>
                <c:pt idx="1">
                  <c:v>50</c:v>
                </c:pt>
                <c:pt idx="2">
                  <c:v>75</c:v>
                </c:pt>
                <c:pt idx="3">
                  <c:v>100</c:v>
                </c:pt>
                <c:pt idx="4">
                  <c:v>125</c:v>
                </c:pt>
                <c:pt idx="5">
                  <c:v>150</c:v>
                </c:pt>
                <c:pt idx="6">
                  <c:v>175</c:v>
                </c:pt>
                <c:pt idx="7">
                  <c:v>200</c:v>
                </c:pt>
                <c:pt idx="8">
                  <c:v>225</c:v>
                </c:pt>
                <c:pt idx="9">
                  <c:v>250</c:v>
                </c:pt>
                <c:pt idx="10">
                  <c:v>275</c:v>
                </c:pt>
                <c:pt idx="11">
                  <c:v>300</c:v>
                </c:pt>
                <c:pt idx="12">
                  <c:v>325</c:v>
                </c:pt>
                <c:pt idx="13">
                  <c:v>350</c:v>
                </c:pt>
                <c:pt idx="14">
                  <c:v>375</c:v>
                </c:pt>
                <c:pt idx="15">
                  <c:v>400</c:v>
                </c:pt>
                <c:pt idx="16">
                  <c:v>425</c:v>
                </c:pt>
                <c:pt idx="17">
                  <c:v>450</c:v>
                </c:pt>
                <c:pt idx="18">
                  <c:v>475</c:v>
                </c:pt>
                <c:pt idx="19">
                  <c:v>500</c:v>
                </c:pt>
              </c:numCache>
            </c:numRef>
          </c:cat>
          <c:val>
            <c:numRef>
              <c:f>'O.S. Matrix (Informational)'!#REF!</c:f>
              <c:numCache>
                <c:formatCode>General</c:formatCode>
                <c:ptCount val="1"/>
                <c:pt idx="0">
                  <c:v>1</c:v>
                </c:pt>
              </c:numCache>
            </c:numRef>
          </c:val>
          <c:smooth val="0"/>
          <c:extLst>
            <c:ext xmlns:c16="http://schemas.microsoft.com/office/drawing/2014/chart" uri="{C3380CC4-5D6E-409C-BE32-E72D297353CC}">
              <c16:uniqueId val="{00000010-1E05-449D-BD92-D1343D1DFADF}"/>
            </c:ext>
          </c:extLst>
        </c:ser>
        <c:ser>
          <c:idx val="16"/>
          <c:order val="17"/>
          <c:tx>
            <c:strRef>
              <c:f>'O.S. Matrix (Informational)'!#REF!</c:f>
              <c:strCache>
                <c:ptCount val="1"/>
                <c:pt idx="0">
                  <c:v>#REF!</c:v>
                </c:pt>
              </c:strCache>
            </c:strRef>
          </c:tx>
          <c:spPr>
            <a:ln w="28575" cap="rnd">
              <a:solidFill>
                <a:schemeClr val="accent1">
                  <a:tint val="62000"/>
                </a:schemeClr>
              </a:solidFill>
              <a:round/>
            </a:ln>
            <a:effectLst/>
          </c:spPr>
          <c:marker>
            <c:symbol val="none"/>
          </c:marker>
          <c:cat>
            <c:numRef>
              <c:f>'O.S. Matrix (Informational)'!$A$37:$A$56</c:f>
              <c:numCache>
                <c:formatCode>General</c:formatCode>
                <c:ptCount val="20"/>
                <c:pt idx="0">
                  <c:v>25</c:v>
                </c:pt>
                <c:pt idx="1">
                  <c:v>50</c:v>
                </c:pt>
                <c:pt idx="2">
                  <c:v>75</c:v>
                </c:pt>
                <c:pt idx="3">
                  <c:v>100</c:v>
                </c:pt>
                <c:pt idx="4">
                  <c:v>125</c:v>
                </c:pt>
                <c:pt idx="5">
                  <c:v>150</c:v>
                </c:pt>
                <c:pt idx="6">
                  <c:v>175</c:v>
                </c:pt>
                <c:pt idx="7">
                  <c:v>200</c:v>
                </c:pt>
                <c:pt idx="8">
                  <c:v>225</c:v>
                </c:pt>
                <c:pt idx="9">
                  <c:v>250</c:v>
                </c:pt>
                <c:pt idx="10">
                  <c:v>275</c:v>
                </c:pt>
                <c:pt idx="11">
                  <c:v>300</c:v>
                </c:pt>
                <c:pt idx="12">
                  <c:v>325</c:v>
                </c:pt>
                <c:pt idx="13">
                  <c:v>350</c:v>
                </c:pt>
                <c:pt idx="14">
                  <c:v>375</c:v>
                </c:pt>
                <c:pt idx="15">
                  <c:v>400</c:v>
                </c:pt>
                <c:pt idx="16">
                  <c:v>425</c:v>
                </c:pt>
                <c:pt idx="17">
                  <c:v>450</c:v>
                </c:pt>
                <c:pt idx="18">
                  <c:v>475</c:v>
                </c:pt>
                <c:pt idx="19">
                  <c:v>500</c:v>
                </c:pt>
              </c:numCache>
            </c:numRef>
          </c:cat>
          <c:val>
            <c:numRef>
              <c:f>'O.S. Matrix (Informational)'!#REF!</c:f>
              <c:numCache>
                <c:formatCode>General</c:formatCode>
                <c:ptCount val="1"/>
                <c:pt idx="0">
                  <c:v>1</c:v>
                </c:pt>
              </c:numCache>
            </c:numRef>
          </c:val>
          <c:smooth val="0"/>
          <c:extLst>
            <c:ext xmlns:c16="http://schemas.microsoft.com/office/drawing/2014/chart" uri="{C3380CC4-5D6E-409C-BE32-E72D297353CC}">
              <c16:uniqueId val="{00000011-1E05-449D-BD92-D1343D1DFADF}"/>
            </c:ext>
          </c:extLst>
        </c:ser>
        <c:ser>
          <c:idx val="17"/>
          <c:order val="18"/>
          <c:tx>
            <c:strRef>
              <c:f>'O.S. Matrix (Informational)'!#REF!</c:f>
              <c:strCache>
                <c:ptCount val="1"/>
                <c:pt idx="0">
                  <c:v>#REF!</c:v>
                </c:pt>
              </c:strCache>
            </c:strRef>
          </c:tx>
          <c:spPr>
            <a:ln w="28575" cap="rnd">
              <a:solidFill>
                <a:schemeClr val="accent1">
                  <a:tint val="56000"/>
                </a:schemeClr>
              </a:solidFill>
              <a:round/>
            </a:ln>
            <a:effectLst/>
          </c:spPr>
          <c:marker>
            <c:symbol val="none"/>
          </c:marker>
          <c:cat>
            <c:numRef>
              <c:f>'O.S. Matrix (Informational)'!$A$37:$A$56</c:f>
              <c:numCache>
                <c:formatCode>General</c:formatCode>
                <c:ptCount val="20"/>
                <c:pt idx="0">
                  <c:v>25</c:v>
                </c:pt>
                <c:pt idx="1">
                  <c:v>50</c:v>
                </c:pt>
                <c:pt idx="2">
                  <c:v>75</c:v>
                </c:pt>
                <c:pt idx="3">
                  <c:v>100</c:v>
                </c:pt>
                <c:pt idx="4">
                  <c:v>125</c:v>
                </c:pt>
                <c:pt idx="5">
                  <c:v>150</c:v>
                </c:pt>
                <c:pt idx="6">
                  <c:v>175</c:v>
                </c:pt>
                <c:pt idx="7">
                  <c:v>200</c:v>
                </c:pt>
                <c:pt idx="8">
                  <c:v>225</c:v>
                </c:pt>
                <c:pt idx="9">
                  <c:v>250</c:v>
                </c:pt>
                <c:pt idx="10">
                  <c:v>275</c:v>
                </c:pt>
                <c:pt idx="11">
                  <c:v>300</c:v>
                </c:pt>
                <c:pt idx="12">
                  <c:v>325</c:v>
                </c:pt>
                <c:pt idx="13">
                  <c:v>350</c:v>
                </c:pt>
                <c:pt idx="14">
                  <c:v>375</c:v>
                </c:pt>
                <c:pt idx="15">
                  <c:v>400</c:v>
                </c:pt>
                <c:pt idx="16">
                  <c:v>425</c:v>
                </c:pt>
                <c:pt idx="17">
                  <c:v>450</c:v>
                </c:pt>
                <c:pt idx="18">
                  <c:v>475</c:v>
                </c:pt>
                <c:pt idx="19">
                  <c:v>500</c:v>
                </c:pt>
              </c:numCache>
            </c:numRef>
          </c:cat>
          <c:val>
            <c:numRef>
              <c:f>'O.S. Matrix (Informational)'!#REF!</c:f>
              <c:numCache>
                <c:formatCode>General</c:formatCode>
                <c:ptCount val="1"/>
                <c:pt idx="0">
                  <c:v>1</c:v>
                </c:pt>
              </c:numCache>
            </c:numRef>
          </c:val>
          <c:smooth val="0"/>
          <c:extLst>
            <c:ext xmlns:c16="http://schemas.microsoft.com/office/drawing/2014/chart" uri="{C3380CC4-5D6E-409C-BE32-E72D297353CC}">
              <c16:uniqueId val="{00000012-1E05-449D-BD92-D1343D1DFADF}"/>
            </c:ext>
          </c:extLst>
        </c:ser>
        <c:ser>
          <c:idx val="18"/>
          <c:order val="19"/>
          <c:tx>
            <c:strRef>
              <c:f>'O.S. Matrix (Informational)'!#REF!</c:f>
              <c:strCache>
                <c:ptCount val="1"/>
                <c:pt idx="0">
                  <c:v>#REF!</c:v>
                </c:pt>
              </c:strCache>
            </c:strRef>
          </c:tx>
          <c:spPr>
            <a:ln w="28575" cap="rnd">
              <a:solidFill>
                <a:schemeClr val="accent1">
                  <a:tint val="50000"/>
                </a:schemeClr>
              </a:solidFill>
              <a:round/>
            </a:ln>
            <a:effectLst/>
          </c:spPr>
          <c:marker>
            <c:symbol val="none"/>
          </c:marker>
          <c:cat>
            <c:numRef>
              <c:f>'O.S. Matrix (Informational)'!$A$37:$A$56</c:f>
              <c:numCache>
                <c:formatCode>General</c:formatCode>
                <c:ptCount val="20"/>
                <c:pt idx="0">
                  <c:v>25</c:v>
                </c:pt>
                <c:pt idx="1">
                  <c:v>50</c:v>
                </c:pt>
                <c:pt idx="2">
                  <c:v>75</c:v>
                </c:pt>
                <c:pt idx="3">
                  <c:v>100</c:v>
                </c:pt>
                <c:pt idx="4">
                  <c:v>125</c:v>
                </c:pt>
                <c:pt idx="5">
                  <c:v>150</c:v>
                </c:pt>
                <c:pt idx="6">
                  <c:v>175</c:v>
                </c:pt>
                <c:pt idx="7">
                  <c:v>200</c:v>
                </c:pt>
                <c:pt idx="8">
                  <c:v>225</c:v>
                </c:pt>
                <c:pt idx="9">
                  <c:v>250</c:v>
                </c:pt>
                <c:pt idx="10">
                  <c:v>275</c:v>
                </c:pt>
                <c:pt idx="11">
                  <c:v>300</c:v>
                </c:pt>
                <c:pt idx="12">
                  <c:v>325</c:v>
                </c:pt>
                <c:pt idx="13">
                  <c:v>350</c:v>
                </c:pt>
                <c:pt idx="14">
                  <c:v>375</c:v>
                </c:pt>
                <c:pt idx="15">
                  <c:v>400</c:v>
                </c:pt>
                <c:pt idx="16">
                  <c:v>425</c:v>
                </c:pt>
                <c:pt idx="17">
                  <c:v>450</c:v>
                </c:pt>
                <c:pt idx="18">
                  <c:v>475</c:v>
                </c:pt>
                <c:pt idx="19">
                  <c:v>500</c:v>
                </c:pt>
              </c:numCache>
            </c:numRef>
          </c:cat>
          <c:val>
            <c:numRef>
              <c:f>'O.S. Matrix (Informational)'!#REF!</c:f>
              <c:numCache>
                <c:formatCode>General</c:formatCode>
                <c:ptCount val="1"/>
                <c:pt idx="0">
                  <c:v>1</c:v>
                </c:pt>
              </c:numCache>
            </c:numRef>
          </c:val>
          <c:smooth val="0"/>
          <c:extLst>
            <c:ext xmlns:c16="http://schemas.microsoft.com/office/drawing/2014/chart" uri="{C3380CC4-5D6E-409C-BE32-E72D297353CC}">
              <c16:uniqueId val="{00000013-1E05-449D-BD92-D1343D1DFADF}"/>
            </c:ext>
          </c:extLst>
        </c:ser>
        <c:ser>
          <c:idx val="19"/>
          <c:order val="20"/>
          <c:tx>
            <c:strRef>
              <c:f>'O.S. Matrix (Informational)'!#REF!</c:f>
              <c:strCache>
                <c:ptCount val="1"/>
                <c:pt idx="0">
                  <c:v>#REF!</c:v>
                </c:pt>
              </c:strCache>
            </c:strRef>
          </c:tx>
          <c:spPr>
            <a:ln w="28575" cap="rnd">
              <a:solidFill>
                <a:schemeClr val="accent1">
                  <a:tint val="43000"/>
                </a:schemeClr>
              </a:solidFill>
              <a:round/>
            </a:ln>
            <a:effectLst/>
          </c:spPr>
          <c:marker>
            <c:symbol val="none"/>
          </c:marker>
          <c:cat>
            <c:numRef>
              <c:f>'O.S. Matrix (Informational)'!$A$37:$A$56</c:f>
              <c:numCache>
                <c:formatCode>General</c:formatCode>
                <c:ptCount val="20"/>
                <c:pt idx="0">
                  <c:v>25</c:v>
                </c:pt>
                <c:pt idx="1">
                  <c:v>50</c:v>
                </c:pt>
                <c:pt idx="2">
                  <c:v>75</c:v>
                </c:pt>
                <c:pt idx="3">
                  <c:v>100</c:v>
                </c:pt>
                <c:pt idx="4">
                  <c:v>125</c:v>
                </c:pt>
                <c:pt idx="5">
                  <c:v>150</c:v>
                </c:pt>
                <c:pt idx="6">
                  <c:v>175</c:v>
                </c:pt>
                <c:pt idx="7">
                  <c:v>200</c:v>
                </c:pt>
                <c:pt idx="8">
                  <c:v>225</c:v>
                </c:pt>
                <c:pt idx="9">
                  <c:v>250</c:v>
                </c:pt>
                <c:pt idx="10">
                  <c:v>275</c:v>
                </c:pt>
                <c:pt idx="11">
                  <c:v>300</c:v>
                </c:pt>
                <c:pt idx="12">
                  <c:v>325</c:v>
                </c:pt>
                <c:pt idx="13">
                  <c:v>350</c:v>
                </c:pt>
                <c:pt idx="14">
                  <c:v>375</c:v>
                </c:pt>
                <c:pt idx="15">
                  <c:v>400</c:v>
                </c:pt>
                <c:pt idx="16">
                  <c:v>425</c:v>
                </c:pt>
                <c:pt idx="17">
                  <c:v>450</c:v>
                </c:pt>
                <c:pt idx="18">
                  <c:v>475</c:v>
                </c:pt>
                <c:pt idx="19">
                  <c:v>500</c:v>
                </c:pt>
              </c:numCache>
            </c:numRef>
          </c:cat>
          <c:val>
            <c:numRef>
              <c:f>'O.S. Matrix (Informational)'!#REF!</c:f>
              <c:numCache>
                <c:formatCode>General</c:formatCode>
                <c:ptCount val="1"/>
                <c:pt idx="0">
                  <c:v>1</c:v>
                </c:pt>
              </c:numCache>
            </c:numRef>
          </c:val>
          <c:smooth val="0"/>
          <c:extLst>
            <c:ext xmlns:c16="http://schemas.microsoft.com/office/drawing/2014/chart" uri="{C3380CC4-5D6E-409C-BE32-E72D297353CC}">
              <c16:uniqueId val="{00000014-1E05-449D-BD92-D1343D1DFADF}"/>
            </c:ext>
          </c:extLst>
        </c:ser>
        <c:dLbls>
          <c:showLegendKey val="0"/>
          <c:showVal val="0"/>
          <c:showCatName val="0"/>
          <c:showSerName val="0"/>
          <c:showPercent val="0"/>
          <c:showBubbleSize val="0"/>
        </c:dLbls>
        <c:smooth val="0"/>
        <c:axId val="1353827167"/>
        <c:axId val="1297249263"/>
      </c:lineChart>
      <c:catAx>
        <c:axId val="1353827167"/>
        <c:scaling>
          <c:orientation val="minMax"/>
        </c:scaling>
        <c:delete val="0"/>
        <c:axPos val="b"/>
        <c:title>
          <c:tx>
            <c:rich>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Dwelling Units</a:t>
                </a:r>
              </a:p>
              <a:p>
                <a:pPr>
                  <a:defRPr/>
                </a:pPr>
                <a:endParaRPr lang="en-US"/>
              </a:p>
            </c:rich>
          </c:tx>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297249263"/>
        <c:crosses val="autoZero"/>
        <c:auto val="1"/>
        <c:lblAlgn val="ctr"/>
        <c:lblOffset val="100"/>
        <c:noMultiLvlLbl val="0"/>
      </c:catAx>
      <c:valAx>
        <c:axId val="1297249263"/>
        <c:scaling>
          <c:orientation val="minMax"/>
          <c:max val="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Acres of Open Space</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_(* #,##0.0_);_(* \(#,##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35382716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withinLinear" id="14">
  <a:schemeClr val="accent1"/>
</cs:colorStyle>
</file>

<file path=xl/charts/colors4.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428">
  <cs:axisTitle>
    <cs:lnRef idx="0"/>
    <cs:fillRef idx="0"/>
    <cs:effectRef idx="0"/>
    <cs:fontRef idx="minor">
      <a:schemeClr val="tx1">
        <a:lumMod val="65000"/>
        <a:lumOff val="35000"/>
      </a:schemeClr>
    </cs:fontRef>
    <cs:defRPr sz="9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cs:chartArea>
  <cs:dataLabel>
    <cs:lnRef idx="0"/>
    <cs:fillRef idx="0"/>
    <cs:effectRef idx="0"/>
    <cs:fontRef idx="minor">
      <a:schemeClr val="tx1">
        <a:lumMod val="75000"/>
        <a:lumOff val="25000"/>
      </a:schemeClr>
    </cs:fontRef>
    <cs:defRPr sz="900"/>
  </cs:dataLabel>
  <cs:dataLabelCallout>
    <cs:lnRef idx="0"/>
    <cs:fillRef idx="0"/>
    <cs:effectRef idx="0"/>
    <cs:fontRef idx="minor">
      <a:schemeClr val="lt1">
        <a:lumMod val="65000"/>
        <a:lumOff val="35000"/>
      </a:schemeClr>
    </cs:fontRef>
    <cs:spPr>
      <a:solidFill>
        <a:schemeClr val="dk1">
          <a:lumMod val="15000"/>
          <a:lumOff val="85000"/>
        </a:schemeClr>
      </a:solidFill>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lumMod val="60000"/>
        </a:schemeClr>
      </a:solidFill>
    </cs:spPr>
  </cs:dataPointMarker>
  <cs:dataPointMarkerLayout symbol="circle" size="8"/>
  <cs:dataPointWireframe>
    <cs:lnRef idx="0">
      <cs:styleClr val="auto"/>
    </cs:lnRef>
    <cs:fillRef idx="0"/>
    <cs:effectRef idx="0"/>
    <cs:fontRef idx="minor">
      <a:schemeClr val="dk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2857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25400" cap="flat" cmpd="sng" algn="ctr">
        <a:solidFill>
          <a:schemeClr val="tx1">
            <a:lumMod val="65000"/>
            <a:lumOff val="35000"/>
          </a:schemeClr>
        </a:solidFill>
        <a:round/>
      </a:ln>
    </cs:spPr>
  </cs:hiLoLine>
  <cs:leaderLine>
    <cs:lnRef idx="0"/>
    <cs:fillRef idx="0"/>
    <cs:effectRef idx="0"/>
    <cs:fontRef idx="minor">
      <a:schemeClr val="dk1"/>
    </cs:fontRef>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dk1"/>
    </cs:fontRef>
    <cs:spPr>
      <a:ln w="9525" cap="flat">
        <a:solidFill>
          <a:srgbClr val="D9D9D9"/>
        </a:solidFill>
        <a:round/>
      </a:ln>
    </cs:spPr>
  </cs:seriesLine>
  <cs:title>
    <cs:lnRef idx="0"/>
    <cs:fillRef idx="0"/>
    <cs:effectRef idx="0"/>
    <cs:fontRef idx="major">
      <a:schemeClr val="tx1">
        <a:lumMod val="65000"/>
        <a:lumOff val="35000"/>
      </a:schemeClr>
    </cs:fontRef>
    <cs:defRPr sz="200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28575">
        <a:solidFill>
          <a:schemeClr val="tx1">
            <a:lumMod val="50000"/>
            <a:lumOff val="50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1</xdr:col>
      <xdr:colOff>2333625</xdr:colOff>
      <xdr:row>0</xdr:row>
      <xdr:rowOff>190500</xdr:rowOff>
    </xdr:from>
    <xdr:to>
      <xdr:col>1</xdr:col>
      <xdr:colOff>4162274</xdr:colOff>
      <xdr:row>1</xdr:row>
      <xdr:rowOff>336847</xdr:rowOff>
    </xdr:to>
    <xdr:pic>
      <xdr:nvPicPr>
        <xdr:cNvPr id="3" name="Picture 2">
          <a:extLst>
            <a:ext uri="{FF2B5EF4-FFF2-40B4-BE49-F238E27FC236}">
              <a16:creationId xmlns:a16="http://schemas.microsoft.com/office/drawing/2014/main" id="{C6BD0DDA-0D46-4628-9A97-401027A88C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38600" y="190500"/>
          <a:ext cx="1828649" cy="5368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72</xdr:row>
      <xdr:rowOff>23810</xdr:rowOff>
    </xdr:from>
    <xdr:to>
      <xdr:col>1</xdr:col>
      <xdr:colOff>476250</xdr:colOff>
      <xdr:row>85</xdr:row>
      <xdr:rowOff>61910</xdr:rowOff>
    </xdr:to>
    <xdr:graphicFrame macro="">
      <xdr:nvGraphicFramePr>
        <xdr:cNvPr id="4" name="Chart 3">
          <a:extLst>
            <a:ext uri="{FF2B5EF4-FFF2-40B4-BE49-F238E27FC236}">
              <a16:creationId xmlns:a16="http://schemas.microsoft.com/office/drawing/2014/main" id="{031E4401-8E43-4D11-BA8A-47A90786D1F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1</xdr:col>
      <xdr:colOff>647699</xdr:colOff>
      <xdr:row>52</xdr:row>
      <xdr:rowOff>19050</xdr:rowOff>
    </xdr:from>
    <xdr:to>
      <xdr:col>4</xdr:col>
      <xdr:colOff>1148714</xdr:colOff>
      <xdr:row>65</xdr:row>
      <xdr:rowOff>57150</xdr:rowOff>
    </xdr:to>
    <xdr:graphicFrame macro="">
      <xdr:nvGraphicFramePr>
        <xdr:cNvPr id="5" name="Chart 4">
          <a:extLst>
            <a:ext uri="{FF2B5EF4-FFF2-40B4-BE49-F238E27FC236}">
              <a16:creationId xmlns:a16="http://schemas.microsoft.com/office/drawing/2014/main" id="{F7204DBC-BA4D-462E-A29E-2C9D6333B8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1</xdr:col>
      <xdr:colOff>647700</xdr:colOff>
      <xdr:row>72</xdr:row>
      <xdr:rowOff>23812</xdr:rowOff>
    </xdr:from>
    <xdr:to>
      <xdr:col>4</xdr:col>
      <xdr:colOff>1148715</xdr:colOff>
      <xdr:row>85</xdr:row>
      <xdr:rowOff>61912</xdr:rowOff>
    </xdr:to>
    <xdr:graphicFrame macro="">
      <xdr:nvGraphicFramePr>
        <xdr:cNvPr id="2" name="Chart 1">
          <a:extLst>
            <a:ext uri="{FF2B5EF4-FFF2-40B4-BE49-F238E27FC236}">
              <a16:creationId xmlns:a16="http://schemas.microsoft.com/office/drawing/2014/main" id="{A3015A93-B099-4D29-A02A-4FE6BE6B066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85725</xdr:colOff>
      <xdr:row>52</xdr:row>
      <xdr:rowOff>9525</xdr:rowOff>
    </xdr:from>
    <xdr:to>
      <xdr:col>1</xdr:col>
      <xdr:colOff>485775</xdr:colOff>
      <xdr:row>65</xdr:row>
      <xdr:rowOff>47625</xdr:rowOff>
    </xdr:to>
    <xdr:graphicFrame macro="">
      <xdr:nvGraphicFramePr>
        <xdr:cNvPr id="6" name="Chart 5">
          <a:extLst>
            <a:ext uri="{FF2B5EF4-FFF2-40B4-BE49-F238E27FC236}">
              <a16:creationId xmlns:a16="http://schemas.microsoft.com/office/drawing/2014/main" id="{33C74E95-58E7-4EDA-989F-19EAAF3E39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83</xdr:row>
      <xdr:rowOff>47625</xdr:rowOff>
    </xdr:from>
    <xdr:to>
      <xdr:col>17</xdr:col>
      <xdr:colOff>0</xdr:colOff>
      <xdr:row>83</xdr:row>
      <xdr:rowOff>3019425</xdr:rowOff>
    </xdr:to>
    <xdr:graphicFrame macro="">
      <xdr:nvGraphicFramePr>
        <xdr:cNvPr id="8" name="Chart 7">
          <a:extLst>
            <a:ext uri="{FF2B5EF4-FFF2-40B4-BE49-F238E27FC236}">
              <a16:creationId xmlns:a16="http://schemas.microsoft.com/office/drawing/2014/main" id="{0DF24AF4-4479-4777-BD26-2D22685D86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57</xdr:row>
      <xdr:rowOff>57150</xdr:rowOff>
    </xdr:from>
    <xdr:to>
      <xdr:col>17</xdr:col>
      <xdr:colOff>0</xdr:colOff>
      <xdr:row>57</xdr:row>
      <xdr:rowOff>3028950</xdr:rowOff>
    </xdr:to>
    <xdr:graphicFrame macro="">
      <xdr:nvGraphicFramePr>
        <xdr:cNvPr id="9" name="Chart 8">
          <a:extLst>
            <a:ext uri="{FF2B5EF4-FFF2-40B4-BE49-F238E27FC236}">
              <a16:creationId xmlns:a16="http://schemas.microsoft.com/office/drawing/2014/main" id="{9D519A8C-ABD4-4B55-B2AF-A8458F6B7F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82149A7A-6FD2-43BD-A500-49A23B0F3625}" name="Table8" displayName="Table8" ref="A5:B8" totalsRowShown="0" headerRowDxfId="157" headerRowBorderDxfId="156">
  <autoFilter ref="A5:B8" xr:uid="{F90B8F26-FF40-4D2E-8CC0-2E8A10196F41}">
    <filterColumn colId="0" hiddenButton="1"/>
    <filterColumn colId="1" hiddenButton="1"/>
  </autoFilter>
  <tableColumns count="2">
    <tableColumn id="1" xr3:uid="{7EA14D17-C843-44AD-B3FE-D024D7427F87}" name="Description" dataDxfId="155"/>
    <tableColumn id="2" xr3:uid="{521851F7-082A-4870-BF34-0E5079F02CE5}" name="Link" dataCellStyle="Hyperlink"/>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9B920C00-095D-44EA-B6EC-0A05E9B48199}" name="Table20" displayName="Table20" ref="A42:E51" totalsRowShown="0" headerRowDxfId="107" headerRowBorderDxfId="106">
  <autoFilter ref="A42:E51" xr:uid="{5C7EF57E-6A43-4FA4-8363-845E57CAB024}">
    <filterColumn colId="0" hiddenButton="1"/>
    <filterColumn colId="1" hiddenButton="1"/>
    <filterColumn colId="2" hiddenButton="1"/>
    <filterColumn colId="3" hiddenButton="1"/>
    <filterColumn colId="4" hiddenButton="1"/>
  </autoFilter>
  <tableColumns count="5">
    <tableColumn id="1" xr3:uid="{797A1C2C-4B4C-49EF-B188-FD1ACB94876C}" name="Description" dataDxfId="105"/>
    <tableColumn id="2" xr3:uid="{33D3B90F-F68D-48CF-A1AA-3ECFA48A1C5E}" name="Acres"/>
    <tableColumn id="3" xr3:uid="{C3B3FD8C-72C3-4373-860F-4DC016A33D03}" name="SQFT" dataDxfId="104" dataCellStyle="Calculation"/>
    <tableColumn id="4" xr3:uid="{5AE87E3B-97E5-4FCE-939A-78B05DF2A23C}" name="Per Type Ratio Total" dataDxfId="103" dataCellStyle="Calculation">
      <calculatedColumnFormula>Table20[[#This Row],[Acres]]/Table20[[#This Row],[Acres]]</calculatedColumnFormula>
    </tableColumn>
    <tableColumn id="5" xr3:uid="{1B446FA2-05DD-4355-8835-ED782DD9F4D1}" name=" " dataDxfId="102"/>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44ECECE2-7A12-4503-8672-408260734CBC}" name="Table21" displayName="Table21" ref="A68:E71" totalsRowShown="0" headerRowDxfId="101" headerRowBorderDxfId="100">
  <autoFilter ref="A68:E71" xr:uid="{938D3B56-3979-4132-AF9F-88E9A62F1565}">
    <filterColumn colId="0" hiddenButton="1"/>
    <filterColumn colId="1" hiddenButton="1"/>
    <filterColumn colId="2" hiddenButton="1"/>
    <filterColumn colId="3" hiddenButton="1"/>
    <filterColumn colId="4" hiddenButton="1"/>
  </autoFilter>
  <tableColumns count="5">
    <tableColumn id="1" xr3:uid="{BB6772AE-2029-477D-8613-C219FCBCC571}" name="Description" dataDxfId="99"/>
    <tableColumn id="2" xr3:uid="{065BD0BD-3C66-4EEF-8782-D64D3B4E6467}" name="Quantity" dataDxfId="98" dataCellStyle="Calculation"/>
    <tableColumn id="3" xr3:uid="{807E9FC4-C7D2-487E-B6B1-E293596B9368}" name="Units" dataDxfId="97"/>
    <tableColumn id="4" xr3:uid="{2676BD79-49FA-4570-96FD-5AD3638DE0A1}" name="Notes" dataDxfId="96"/>
    <tableColumn id="5" xr3:uid="{2BEB5529-707D-4CAB-8BA6-1B1EB6B44D92}" name=" " dataDxfId="95" dataCellStyle="Calculation"/>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64028231-E089-4717-8F6C-BC3913F95A33}" name="Table218" displayName="Table218" ref="A92:E98" totalsRowShown="0" headerRowDxfId="94" headerRowBorderDxfId="93">
  <autoFilter ref="A92:E98" xr:uid="{9553AA1B-D2AF-42ED-9A52-433A335B1EE4}">
    <filterColumn colId="0" hiddenButton="1"/>
    <filterColumn colId="1" hiddenButton="1"/>
    <filterColumn colId="2" hiddenButton="1"/>
    <filterColumn colId="3" hiddenButton="1"/>
    <filterColumn colId="4" hiddenButton="1"/>
  </autoFilter>
  <tableColumns count="5">
    <tableColumn id="1" xr3:uid="{F7FA74DB-B7B1-4124-A75E-4618E3F70C97}" name="Description" dataDxfId="92"/>
    <tableColumn id="2" xr3:uid="{FAB2DC5A-12BE-4F52-9355-8A37AEE794AC}" name="Quantity" dataDxfId="91" dataCellStyle="Calculation"/>
    <tableColumn id="3" xr3:uid="{022544A6-DF08-4F51-B8E6-297C31C31751}" name="Units" dataDxfId="90"/>
    <tableColumn id="4" xr3:uid="{274AF3BE-4288-48C3-8614-C8BA63022D9A}" name="Notes" dataDxfId="89">
      <calculatedColumnFormula>IF($B$6=0,"",ROUND(SQRT(B93),0)&amp;" feet x "&amp;ROUND(SQRT(B93),0)&amp;" feet per person")</calculatedColumnFormula>
    </tableColumn>
    <tableColumn id="5" xr3:uid="{2B3D95D0-72CD-47C1-9DF3-F83BF614F715}" name=" " dataDxfId="88" dataCellStyle="Calculation"/>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D08924BA-194F-426F-B349-C017D1BBD970}" name="Table2117" displayName="Table2117" ref="A87:E90" totalsRowShown="0" headerRowDxfId="87" headerRowBorderDxfId="86">
  <autoFilter ref="A87:E90" xr:uid="{7EDB7805-7B84-4EE4-9D86-40DED0C9BE11}">
    <filterColumn colId="0" hiddenButton="1"/>
    <filterColumn colId="1" hiddenButton="1"/>
    <filterColumn colId="2" hiddenButton="1"/>
    <filterColumn colId="3" hiddenButton="1"/>
    <filterColumn colId="4" hiddenButton="1"/>
  </autoFilter>
  <tableColumns count="5">
    <tableColumn id="1" xr3:uid="{01AEB464-6A34-4D24-9A83-77F94A11E130}" name="Description" dataDxfId="85"/>
    <tableColumn id="2" xr3:uid="{41F92AC2-00E3-4030-A004-00517E1F81F9}" name="Quantity" dataDxfId="84" dataCellStyle="Calculation"/>
    <tableColumn id="3" xr3:uid="{6B3BBD34-86B2-4F4A-9010-209B0895B4ED}" name="Units" dataDxfId="83"/>
    <tableColumn id="4" xr3:uid="{E93619F1-127C-410C-97B3-A91EFF7BE77E}" name="Notes" dataDxfId="82">
      <calculatedColumnFormula>IF($B$6=0,"",ROUND(SQRT(B88),0)&amp;" feet x "&amp;ROUND(SQRT(B88),0)&amp;" feet per 20 units")</calculatedColumnFormula>
    </tableColumn>
    <tableColumn id="5" xr3:uid="{CA3E07D7-6FFE-476B-A5A2-83F494C1D98D}" name=" " dataDxfId="81" dataCellStyle="Calculation"/>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A4181BD-DEFA-47A1-9CE1-5C534ED9F668}" name="Table3" displayName="Table3" ref="A11:Q31" totalsRowShown="0" headerRowDxfId="80" dataDxfId="79">
  <autoFilter ref="A11:Q31" xr:uid="{1BC5D251-D679-46FC-8232-7B5C8859176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D6C3859A-F5C9-4264-8A8B-E559F00707FD}" name="Units" dataDxfId="78"/>
    <tableColumn id="2" xr3:uid="{28998F71-C969-482F-898E-040E4BFAB72B}" name="5" dataDxfId="77">
      <calculatedColumnFormula>IF(OR($A12/B$11&gt;=max_density,$A12/B$11&lt;=min_density),"",$A12/B$11)</calculatedColumnFormula>
    </tableColumn>
    <tableColumn id="3" xr3:uid="{6F1EE41E-55FB-45F1-B412-74F91CCE97B3}" name="6" dataDxfId="76">
      <calculatedColumnFormula>IF(OR($A12/C$11&gt;=max_density,$A12/C$11&lt;=min_density),"",$A12/C$11)</calculatedColumnFormula>
    </tableColumn>
    <tableColumn id="4" xr3:uid="{AA050D84-1D57-420D-B42C-70EE28B1094A}" name="7" dataDxfId="75">
      <calculatedColumnFormula>IF(OR($A12/D$11&gt;=max_density,$A12/D$11&lt;=min_density),"",$A12/D$11)</calculatedColumnFormula>
    </tableColumn>
    <tableColumn id="5" xr3:uid="{8027A0E0-D1B3-47D9-9F29-0DFA7207DA52}" name="8" dataDxfId="74">
      <calculatedColumnFormula>IF(OR($A12/E$11&gt;=max_density,$A12/E$11&lt;=min_density),"",$A12/E$11)</calculatedColumnFormula>
    </tableColumn>
    <tableColumn id="6" xr3:uid="{0FA16B6F-EC5E-40E4-AF92-B319114FCF0E}" name="9" dataDxfId="73">
      <calculatedColumnFormula>IF(OR($A12/F$11&gt;=max_density,$A12/F$11&lt;=min_density),"",$A12/F$11)</calculatedColumnFormula>
    </tableColumn>
    <tableColumn id="7" xr3:uid="{C4AC575C-DA46-44CA-8ADE-C67DBACE8F6B}" name="10" dataDxfId="72">
      <calculatedColumnFormula>IF(OR($A12/G$11&gt;=max_density,$A12/G$11&lt;=min_density),"",$A12/G$11)</calculatedColumnFormula>
    </tableColumn>
    <tableColumn id="8" xr3:uid="{B86EDB9B-B68C-4477-B5D9-E4CEC9450386}" name="11" dataDxfId="71">
      <calculatedColumnFormula>IF(OR($A12/H$11&gt;=max_density,$A12/H$11&lt;=min_density),"",$A12/H$11)</calculatedColumnFormula>
    </tableColumn>
    <tableColumn id="9" xr3:uid="{E1646E53-78CF-4D55-A655-712964BC8A9B}" name="12" dataDxfId="70">
      <calculatedColumnFormula>IF(OR($A12/I$11&gt;=max_density,$A12/I$11&lt;=min_density),"",$A12/I$11)</calculatedColumnFormula>
    </tableColumn>
    <tableColumn id="10" xr3:uid="{63F04C57-AE59-4C95-8FCA-54DA28FDF2B4}" name="13" dataDxfId="69">
      <calculatedColumnFormula>IF(OR($A12/J$11&gt;=max_density,$A12/J$11&lt;=min_density),"",$A12/J$11)</calculatedColumnFormula>
    </tableColumn>
    <tableColumn id="11" xr3:uid="{A3A79C05-34E7-4CF0-871D-2DC705DB57D3}" name="14" dataDxfId="68">
      <calculatedColumnFormula>IF(OR($A12/K$11&gt;=max_density,$A12/K$11&lt;=min_density),"",$A12/K$11)</calculatedColumnFormula>
    </tableColumn>
    <tableColumn id="12" xr3:uid="{21D7B515-7662-4F88-8B47-884E1FDCE83A}" name="15" dataDxfId="67">
      <calculatedColumnFormula>IF(OR($A12/L$11&gt;=max_density,$A12/L$11&lt;=min_density),"",$A12/L$11)</calculatedColumnFormula>
    </tableColumn>
    <tableColumn id="13" xr3:uid="{F2E0F6DF-DCDE-435B-9C74-8EA0A5DF00C0}" name="16" dataDxfId="66">
      <calculatedColumnFormula>IF(OR($A12/M$11&gt;=max_density,$A12/M$11&lt;=min_density),"",$A12/M$11)</calculatedColumnFormula>
    </tableColumn>
    <tableColumn id="14" xr3:uid="{36CE965A-D93B-4F0E-BD27-255235CD9225}" name="17" dataDxfId="65">
      <calculatedColumnFormula>IF(OR($A12/N$11&gt;=max_density,$A12/N$11&lt;=min_density),"",$A12/N$11)</calculatedColumnFormula>
    </tableColumn>
    <tableColumn id="15" xr3:uid="{F703553C-2A0D-4775-BDA1-DEE9C5E95BA2}" name="18" dataDxfId="64">
      <calculatedColumnFormula>IF(OR($A12/O$11&gt;=max_density,$A12/O$11&lt;=min_density),"",$A12/O$11)</calculatedColumnFormula>
    </tableColumn>
    <tableColumn id="16" xr3:uid="{0CC6ABEC-AA80-4550-94D9-F9B7E3E11D10}" name="19" dataDxfId="63">
      <calculatedColumnFormula>IF(OR($A12/P$11&gt;=max_density,$A12/P$11&lt;=min_density),"",$A12/P$11)</calculatedColumnFormula>
    </tableColumn>
    <tableColumn id="17" xr3:uid="{DAB7862D-5EF9-4B60-95AD-093F87DDCB83}" name="20" dataDxfId="62">
      <calculatedColumnFormula>IF(OR($A12/Q$11&gt;=max_density,$A12/Q$11&lt;=min_density),"",$A12/Q$11)</calculatedColumnFormula>
    </tableColumn>
  </tableColumns>
  <tableStyleInfo name="TableStyleLight18"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546D980-3E7D-4FC4-BFB3-5113441CED75}" name="Table4" displayName="Table4" ref="A36:Q56" totalsRowShown="0" headerRowDxfId="61" dataDxfId="60" dataCellStyle="Comma">
  <autoFilter ref="A36:Q56" xr:uid="{0C3AEF25-B88C-4F37-B2CB-F6C58E0C2F5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9A4A94C4-5C2A-43D5-888D-36027F949D0D}" name="Units" dataDxfId="59"/>
    <tableColumn id="2" xr3:uid="{7B645419-BF5A-4A0F-B0B0-FA04B4BD4138}" name="5" dataDxfId="58" dataCellStyle="Comma">
      <calculatedColumnFormula>IF(B12="","",(((B$36*Per_OS)*SQFT_Acre)+($A37*med_unit))/SQFT_Acre)</calculatedColumnFormula>
    </tableColumn>
    <tableColumn id="3" xr3:uid="{09705437-614C-4265-8E98-616D12C814E5}" name="6" dataDxfId="57" dataCellStyle="Comma">
      <calculatedColumnFormula>IF(C12="","",(((C$36*Per_OS)*SQFT_Acre)+($A37*med_unit))/SQFT_Acre)</calculatedColumnFormula>
    </tableColumn>
    <tableColumn id="4" xr3:uid="{5532CEFE-E3AD-4A85-AAE9-DF533EDD8ED7}" name="7" dataDxfId="56" dataCellStyle="Comma">
      <calculatedColumnFormula>IF(D12="","",(((D$36*Per_OS)*SQFT_Acre)+($A37*med_unit))/SQFT_Acre)</calculatedColumnFormula>
    </tableColumn>
    <tableColumn id="5" xr3:uid="{A46D4E8F-521C-49BD-9804-D8E0EF162A16}" name="8" dataDxfId="55" dataCellStyle="Comma">
      <calculatedColumnFormula>IF(E12="","",(((E$36*Per_OS)*SQFT_Acre)+($A37*med_unit))/SQFT_Acre)</calculatedColumnFormula>
    </tableColumn>
    <tableColumn id="6" xr3:uid="{0C30E66C-BA79-4BD9-8324-B40019EF5B59}" name="9" dataDxfId="54" dataCellStyle="Comma">
      <calculatedColumnFormula>IF(F12="","",(((F$36*Per_OS)*SQFT_Acre)+($A37*med_unit))/SQFT_Acre)</calculatedColumnFormula>
    </tableColumn>
    <tableColumn id="7" xr3:uid="{A4B6B1D4-D2CB-4787-9BE2-DB25312C2407}" name="10" dataDxfId="53" dataCellStyle="Comma">
      <calculatedColumnFormula>IF(G12="","",(((G$36*Per_OS)*SQFT_Acre)+($A37*med_unit))/SQFT_Acre)</calculatedColumnFormula>
    </tableColumn>
    <tableColumn id="8" xr3:uid="{96C03E32-9239-42C4-9E76-31087322B594}" name="11" dataDxfId="52" dataCellStyle="Comma">
      <calculatedColumnFormula>IF(H12="","",(((H$36*Per_OS)*SQFT_Acre)+($A37*med_unit))/SQFT_Acre)</calculatedColumnFormula>
    </tableColumn>
    <tableColumn id="9" xr3:uid="{B7BD6667-8C0E-4EE5-97CD-DCAFD768A598}" name="12" dataDxfId="51" dataCellStyle="Comma">
      <calculatedColumnFormula>IF(I12="","",(((I$36*Per_OS)*SQFT_Acre)+($A37*med_unit))/SQFT_Acre)</calculatedColumnFormula>
    </tableColumn>
    <tableColumn id="10" xr3:uid="{48EC5709-F466-4009-8551-297A77B94C1C}" name="13" dataDxfId="50" dataCellStyle="Comma">
      <calculatedColumnFormula>IF(J12="","",(((J$36*Per_OS)*SQFT_Acre)+($A37*med_unit))/SQFT_Acre)</calculatedColumnFormula>
    </tableColumn>
    <tableColumn id="11" xr3:uid="{982BD8C4-7D9E-4ED4-A8E4-536299DD2EBD}" name="14" dataDxfId="49" dataCellStyle="Comma">
      <calculatedColumnFormula>IF(K12="","",(((K$36*Per_OS)*SQFT_Acre)+($A37*med_unit))/SQFT_Acre)</calculatedColumnFormula>
    </tableColumn>
    <tableColumn id="12" xr3:uid="{A3DF8C91-2E18-4AFC-9E45-D34CCECDD56D}" name="15" dataDxfId="48" dataCellStyle="Comma">
      <calculatedColumnFormula>IF(L12="","",(((L$36*Per_OS)*SQFT_Acre)+($A37*med_unit))/SQFT_Acre)</calculatedColumnFormula>
    </tableColumn>
    <tableColumn id="13" xr3:uid="{D318131A-5337-461E-83E9-38E4E1E6FF25}" name="16" dataDxfId="47" dataCellStyle="Comma">
      <calculatedColumnFormula>IF(M12="","",(((M$36*Per_OS)*SQFT_Acre)+($A37*med_unit))/SQFT_Acre)</calculatedColumnFormula>
    </tableColumn>
    <tableColumn id="14" xr3:uid="{5D0CB8F9-C14C-4A17-AE9C-4FD427B6DFED}" name="17" dataDxfId="46" dataCellStyle="Comma">
      <calculatedColumnFormula>IF(N12="","",(((N$36*Per_OS)*SQFT_Acre)+($A37*med_unit))/SQFT_Acre)</calculatedColumnFormula>
    </tableColumn>
    <tableColumn id="15" xr3:uid="{17649D1A-C42D-4645-B6B7-CE0DC921709E}" name="18" dataDxfId="45" dataCellStyle="Comma">
      <calculatedColumnFormula>IF(O12="","",(((O$36*Per_OS)*SQFT_Acre)+($A37*med_unit))/SQFT_Acre)</calculatedColumnFormula>
    </tableColumn>
    <tableColumn id="16" xr3:uid="{34146FF4-D36A-4D0F-9685-DDF61563E582}" name="19" dataDxfId="44" dataCellStyle="Comma">
      <calculatedColumnFormula>IF(P12="","",(((P$36*Per_OS)*SQFT_Acre)+($A37*med_unit))/SQFT_Acre)</calculatedColumnFormula>
    </tableColumn>
    <tableColumn id="17" xr3:uid="{9DDB8EEC-3722-4705-AFBD-1B51BFA40A4F}" name="20" dataDxfId="43" dataCellStyle="Comma">
      <calculatedColumnFormula>IF(Q12="","",(((Q$36*Per_OS)*SQFT_Acre)+($A37*med_unit))/SQFT_Acre)</calculatedColumnFormula>
    </tableColumn>
  </tableColumns>
  <tableStyleInfo name="TableStyleLight18"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A93C17C-80E9-478F-9EE5-D96CDB0BE708}" name="Table5" displayName="Table5" ref="A62:Q82" totalsRowShown="0" headerRowDxfId="42" dataDxfId="41">
  <autoFilter ref="A62:Q82" xr:uid="{4C63EC88-7F0F-475B-9B5D-E195F1FEB5D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6CEBD561-2361-42AC-98F1-A521CD3F2E3F}" name="Units" dataDxfId="40"/>
    <tableColumn id="2" xr3:uid="{91D13F17-CAB6-4059-A88A-DFFD3B827E21}" name="5" dataDxfId="39" dataCellStyle="Comma">
      <calculatedColumnFormula>IF(B12="","",(B37*SQFT_Acre)/$A63)</calculatedColumnFormula>
    </tableColumn>
    <tableColumn id="3" xr3:uid="{B2B1E2C6-436D-4E99-9440-A84697243A4C}" name="6" dataDxfId="38" dataCellStyle="Comma">
      <calculatedColumnFormula>IF(C12="","",(C37*SQFT_Acre)/$A63)</calculatedColumnFormula>
    </tableColumn>
    <tableColumn id="4" xr3:uid="{C50BBD8A-EDE6-4C77-AF73-6A68BC235621}" name="7" dataDxfId="37" dataCellStyle="Comma">
      <calculatedColumnFormula>IF(D12="","",(D37*SQFT_Acre)/$A63)</calculatedColumnFormula>
    </tableColumn>
    <tableColumn id="5" xr3:uid="{2B2E931A-D458-4A32-B8BD-1B86C0C61D90}" name="8" dataDxfId="36" dataCellStyle="Comma">
      <calculatedColumnFormula>IF(E12="","",(E37*SQFT_Acre)/$A63)</calculatedColumnFormula>
    </tableColumn>
    <tableColumn id="6" xr3:uid="{F7F26954-5719-462C-A1CA-42B87B497ED3}" name="9" dataDxfId="35" dataCellStyle="Comma">
      <calculatedColumnFormula>IF(F12="","",(F37*SQFT_Acre)/$A63)</calculatedColumnFormula>
    </tableColumn>
    <tableColumn id="7" xr3:uid="{D8DB7B35-46B8-4B8C-A5AA-279BABD9DFE5}" name="10" dataDxfId="34" dataCellStyle="Comma">
      <calculatedColumnFormula>IF(G12="","",(G37*SQFT_Acre)/$A63)</calculatedColumnFormula>
    </tableColumn>
    <tableColumn id="8" xr3:uid="{A2830C88-E4EB-4625-83FF-DA89DE4C8B52}" name="11" dataDxfId="33" dataCellStyle="Comma">
      <calculatedColumnFormula>IF(H12="","",(H37*SQFT_Acre)/$A63)</calculatedColumnFormula>
    </tableColumn>
    <tableColumn id="9" xr3:uid="{0AD4CB7E-08CC-484B-9C0E-C1697452768D}" name="12" dataDxfId="32" dataCellStyle="Comma">
      <calculatedColumnFormula>IF(I12="","",(I37*SQFT_Acre)/$A63)</calculatedColumnFormula>
    </tableColumn>
    <tableColumn id="10" xr3:uid="{129775C4-5323-4081-9054-76CFEB0B36B1}" name="13" dataDxfId="31" dataCellStyle="Comma">
      <calculatedColumnFormula>IF(J12="","",(J37*SQFT_Acre)/$A63)</calculatedColumnFormula>
    </tableColumn>
    <tableColumn id="11" xr3:uid="{BA5A6829-DC77-431D-BA96-FB1C546F61FB}" name="14" dataDxfId="30" dataCellStyle="Comma">
      <calculatedColumnFormula>IF(K12="","",(K37*SQFT_Acre)/$A63)</calculatedColumnFormula>
    </tableColumn>
    <tableColumn id="12" xr3:uid="{D3668034-FA0F-433A-A449-A851937F9FD9}" name="15" dataDxfId="29" dataCellStyle="Comma">
      <calculatedColumnFormula>IF(L12="","",(L37*SQFT_Acre)/$A63)</calculatedColumnFormula>
    </tableColumn>
    <tableColumn id="13" xr3:uid="{369650A8-23C1-4A41-80D8-ABF503BC42A0}" name="16" dataDxfId="28" dataCellStyle="Comma">
      <calculatedColumnFormula>IF(M12="","",(M37*SQFT_Acre)/$A63)</calculatedColumnFormula>
    </tableColumn>
    <tableColumn id="14" xr3:uid="{738D4F34-312B-44EE-84EB-6F1F3B09D685}" name="17" dataDxfId="27" dataCellStyle="Comma">
      <calculatedColumnFormula>IF(N12="","",(N37*SQFT_Acre)/$A63)</calculatedColumnFormula>
    </tableColumn>
    <tableColumn id="15" xr3:uid="{01EE37EA-E1E9-4A1C-8513-066D5DE84D2A}" name="18" dataDxfId="26" dataCellStyle="Comma">
      <calculatedColumnFormula>IF(O12="","",(O37*SQFT_Acre)/$A63)</calculatedColumnFormula>
    </tableColumn>
    <tableColumn id="16" xr3:uid="{98B9E8AC-14C3-4C25-B183-C981460D415E}" name="19" dataDxfId="25" dataCellStyle="Comma">
      <calculatedColumnFormula>IF(P12="","",(P37*SQFT_Acre)/$A63)</calculatedColumnFormula>
    </tableColumn>
    <tableColumn id="17" xr3:uid="{F36E8FD8-4F05-46E0-A6DA-70971380A8AB}" name="20" dataDxfId="24" dataCellStyle="Comma">
      <calculatedColumnFormula>IF(Q12="","",(Q37*SQFT_Acre)/$A63)</calculatedColumnFormula>
    </tableColumn>
  </tableColumns>
  <tableStyleInfo name="TableStyleLight18"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48345B7-AE1B-4F3F-8DAB-B90EA89CA60F}" name="Table6" displayName="Table6" ref="A88:Q108" totalsRowShown="0" headerRowDxfId="23" dataDxfId="22">
  <autoFilter ref="A88:Q108" xr:uid="{D0948202-13C0-43FF-86DC-A0B3EE69127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F83B8B3D-86E5-42E1-9A20-A34A6556BB5D}" name="Units" dataDxfId="21"/>
    <tableColumn id="2" xr3:uid="{01713519-41B2-444D-83BE-A979B766CC3F}" name="5" dataDxfId="20" dataCellStyle="Percent">
      <calculatedColumnFormula>IF(B12="","",ROUND(B37/B$88,3))</calculatedColumnFormula>
    </tableColumn>
    <tableColumn id="3" xr3:uid="{BD81BA22-A2C8-4910-B1B7-C30AEA1FBC4B}" name="6" dataDxfId="19" dataCellStyle="Percent">
      <calculatedColumnFormula>IF(C12="","",ROUND(C37/C$88,3))</calculatedColumnFormula>
    </tableColumn>
    <tableColumn id="4" xr3:uid="{56B155BE-D0C0-4BA4-9976-D29CA408531D}" name="7" dataDxfId="18" dataCellStyle="Percent">
      <calculatedColumnFormula>IF(D12="","",ROUND(D37/D$88,3))</calculatedColumnFormula>
    </tableColumn>
    <tableColumn id="5" xr3:uid="{B0AB2F77-FDB6-49D8-BD85-FF111ED257A1}" name="8" dataDxfId="17" dataCellStyle="Percent">
      <calculatedColumnFormula>IF(E12="","",ROUND(E37/E$88,3))</calculatedColumnFormula>
    </tableColumn>
    <tableColumn id="6" xr3:uid="{F2E7DC7F-704C-4604-BF3F-A0A0020A4BA6}" name="9" dataDxfId="16" dataCellStyle="Percent">
      <calculatedColumnFormula>IF(F12="","",ROUND(F37/F$88,3))</calculatedColumnFormula>
    </tableColumn>
    <tableColumn id="7" xr3:uid="{6F19F8C6-D18C-4A84-8C3F-D0B612005808}" name="10" dataDxfId="15" dataCellStyle="Percent">
      <calculatedColumnFormula>IF(G12="","",ROUND(G37/G$88,3))</calculatedColumnFormula>
    </tableColumn>
    <tableColumn id="8" xr3:uid="{B2DC8111-25D7-4629-91A0-BD271EF67037}" name="11" dataDxfId="14" dataCellStyle="Percent">
      <calculatedColumnFormula>IF(H12="","",ROUND(H37/H$88,3))</calculatedColumnFormula>
    </tableColumn>
    <tableColumn id="9" xr3:uid="{4CE5BF85-8028-4D89-90E2-9A1D099C7070}" name="12" dataDxfId="13" dataCellStyle="Percent">
      <calculatedColumnFormula>IF(I12="","",ROUND(I37/I$88,3))</calculatedColumnFormula>
    </tableColumn>
    <tableColumn id="10" xr3:uid="{AB1730A8-E47F-4685-8319-6579D4C91046}" name="13" dataDxfId="12" dataCellStyle="Percent">
      <calculatedColumnFormula>IF(J12="","",ROUND(J37/J$88,3))</calculatedColumnFormula>
    </tableColumn>
    <tableColumn id="11" xr3:uid="{AB4097D4-0D41-47B2-B84C-13D6B30E7E05}" name="14" dataDxfId="11" dataCellStyle="Percent">
      <calculatedColumnFormula>IF(K12="","",ROUND(K37/K$88,3))</calculatedColumnFormula>
    </tableColumn>
    <tableColumn id="12" xr3:uid="{3F6A140A-5634-44E7-A5E3-8E912777C153}" name="15" dataDxfId="10" dataCellStyle="Percent">
      <calculatedColumnFormula>IF(L12="","",ROUND(L37/L$88,3))</calculatedColumnFormula>
    </tableColumn>
    <tableColumn id="13" xr3:uid="{D3603C7B-5638-48F5-88FE-AFEAB1A87156}" name="16" dataDxfId="9" dataCellStyle="Percent">
      <calculatedColumnFormula>IF(M12="","",ROUND(M37/M$88,3))</calculatedColumnFormula>
    </tableColumn>
    <tableColumn id="14" xr3:uid="{5537A3FB-9FA8-4FE0-9154-0FE11467C220}" name="17" dataDxfId="8" dataCellStyle="Percent">
      <calculatedColumnFormula>IF(N12="","",ROUND(N37/N$88,3))</calculatedColumnFormula>
    </tableColumn>
    <tableColumn id="15" xr3:uid="{27048E28-DECC-435A-A01F-004A62661B60}" name="18" dataDxfId="7" dataCellStyle="Percent">
      <calculatedColumnFormula>IF(O12="","",ROUND(O37/O$88,3))</calculatedColumnFormula>
    </tableColumn>
    <tableColumn id="16" xr3:uid="{CB68A5B1-1DE2-4012-ACAE-EE42F42A8491}" name="19" dataDxfId="6" dataCellStyle="Percent">
      <calculatedColumnFormula>IF(P12="","",ROUND(P37/P$88,3))</calculatedColumnFormula>
    </tableColumn>
    <tableColumn id="17" xr3:uid="{7F453B3E-B348-41B5-948A-586F314B47AC}" name="20" dataDxfId="5" dataCellStyle="Percent">
      <calculatedColumnFormula>IF(Q12="","",ROUND(Q37/Q$88,3))</calculatedColumnFormula>
    </tableColumn>
  </tableColumns>
  <tableStyleInfo name="TableStyleLight18"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768936E-AF97-43C7-9ADB-9F76C2105C88}" name="Table82" displayName="Table82" ref="A8:B18" totalsRowShown="0" headerRowDxfId="4" dataDxfId="2" headerRowBorderDxfId="3">
  <autoFilter ref="A8:B18" xr:uid="{F90B8F26-FF40-4D2E-8CC0-2E8A10196F41}">
    <filterColumn colId="0" hiddenButton="1"/>
    <filterColumn colId="1" hiddenButton="1"/>
  </autoFilter>
  <tableColumns count="2">
    <tableColumn id="1" xr3:uid="{C67166D5-3C10-411F-8FF8-E9D35303AAC1}" name="ID" dataDxfId="1"/>
    <tableColumn id="2" xr3:uid="{C5F085C9-38AB-48DC-896A-B5C152DE162F}" name="Text" dataDxfId="0" dataCellStyle="Hyperlink"/>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96347734-63F1-4772-8AF2-3976CD0947DB}" name="Table9" displayName="Table9" ref="A11:B15" totalsRowShown="0" headerRowDxfId="154" headerRowBorderDxfId="153">
  <autoFilter ref="A11:B15" xr:uid="{197EA1BE-21FC-4AD0-9A66-C954D5821373}">
    <filterColumn colId="0" hiddenButton="1"/>
    <filterColumn colId="1" hiddenButton="1"/>
  </autoFilter>
  <tableColumns count="2">
    <tableColumn id="1" xr3:uid="{4FAA428B-9214-41AC-9415-69F5CA6ED33D}" name="Description" dataDxfId="152"/>
    <tableColumn id="2" xr3:uid="{49A8DF1B-62AE-44A6-B665-1F3CDC9D5D85}" name="Link" dataCellStyle="Hyperlink"/>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E385B564-3350-491E-9839-75EEECDBE7DE}" name="Table_site" displayName="Table_site" ref="A4:D10" totalsRowShown="0" dataDxfId="149" headerRowBorderDxfId="150">
  <autoFilter ref="A4:D10" xr:uid="{F97E4D97-A1D5-4435-881D-24C740A1CD2F}">
    <filterColumn colId="0" hiddenButton="1"/>
    <filterColumn colId="1" hiddenButton="1"/>
    <filterColumn colId="2" hiddenButton="1"/>
    <filterColumn colId="3" hiddenButton="1"/>
  </autoFilter>
  <tableColumns count="4">
    <tableColumn id="1" xr3:uid="{2DDE9887-0773-4A45-B6C4-0FF8BAFCE1BF}" name="Description" dataDxfId="148"/>
    <tableColumn id="2" xr3:uid="{A543B646-F632-4921-ACE9-FAB8E25CEFB3}" name="Inputs" dataDxfId="147" dataCellStyle="Input"/>
    <tableColumn id="3" xr3:uid="{76C8ED0C-4F94-4FFB-989C-DF454D761711}" name="Notes" dataDxfId="146" dataCellStyle="Comma">
      <calculatedColumnFormula>B4*SQFT_Acre</calculatedColumnFormula>
    </tableColumn>
    <tableColumn id="6" xr3:uid="{AA26775B-EA45-4AD6-A33A-615AEDA91759}" name=" " dataDxfId="145"/>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D89235CD-A53E-4CF3-B74D-F40F4A976B82}" name="Table_MF" displayName="Table_MF" ref="A13:D16" totalsRowShown="0" headerRowBorderDxfId="144">
  <autoFilter ref="A13:D16" xr:uid="{6BFE8982-BF37-4C80-B732-B43EAE0F9875}">
    <filterColumn colId="0" hiddenButton="1"/>
    <filterColumn colId="1" hiddenButton="1"/>
    <filterColumn colId="2" hiddenButton="1"/>
    <filterColumn colId="3" hiddenButton="1"/>
  </autoFilter>
  <tableColumns count="4">
    <tableColumn id="1" xr3:uid="{924DFE72-EDC5-47AF-8FE8-C63F81F60416}" name="Description" dataDxfId="143"/>
    <tableColumn id="2" xr3:uid="{7BF4EE09-483E-4907-9E1F-5C720AED59F9}" name="# of Units" dataDxfId="142" dataCellStyle="Input"/>
    <tableColumn id="3" xr3:uid="{64A0E09E-740A-4AF8-A19F-3BD99CE4710C}" name="Notes" dataDxfId="141" dataCellStyle="Calculation">
      <calculatedColumnFormula>Table_MF[[#This Row],['# of Units]]*'Global Variables'!small_unit</calculatedColumnFormula>
    </tableColumn>
    <tableColumn id="5" xr3:uid="{8EBB879D-2FC8-473F-8578-EC37D8DDB40E}" name=" " dataDxfId="140"/>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FB3C9852-1FCE-4256-A0B4-71C175A83301}" name="Table_results" displayName="Table_results" ref="A19:D26" totalsRowCount="1" headerRowDxfId="139" headerRowBorderDxfId="138">
  <autoFilter ref="A19:D25" xr:uid="{93628B3B-2818-4567-87DE-9016CA6F1817}">
    <filterColumn colId="0" hiddenButton="1"/>
    <filterColumn colId="1" hiddenButton="1"/>
    <filterColumn colId="2" hiddenButton="1"/>
    <filterColumn colId="3" hiddenButton="1"/>
  </autoFilter>
  <tableColumns count="4">
    <tableColumn id="1" xr3:uid="{6312E17C-2588-4CCE-92F0-9524582852D2}" name="Description" totalsRowLabel="Grand Total Required Qualified O.S." totalsRowDxfId="137"/>
    <tableColumn id="2" xr3:uid="{45D96C99-1C88-48DC-9010-0C0294ED7829}" name="Acres" totalsRowFunction="custom" dataDxfId="136" totalsRowDxfId="135" dataCellStyle="Calculation" totalsRowCellStyle="Calculation">
      <calculatedColumnFormula>B7*B10</calculatedColumnFormula>
      <totalsRowFormula>B20+B21+B22</totalsRowFormula>
    </tableColumn>
    <tableColumn id="3" xr3:uid="{DD0B13F8-418C-45A3-A30D-2550239DCD35}" name="SQFT" totalsRowFunction="custom" dataDxfId="134" totalsRowDxfId="133" dataCellStyle="Calculation">
      <calculatedColumnFormula>Table_results[[#This Row],[Acres]]*SQFT_Acre</calculatedColumnFormula>
      <totalsRowFormula>C20+C21+C22</totalsRowFormula>
    </tableColumn>
    <tableColumn id="5" xr3:uid="{0D60A554-1F35-429E-BD65-C6DBAAC2603D}" name="Notes" totalsRowFunction="custom" totalsRowDxfId="132" dataCellStyle="Calculation">
      <totalsRowFormula>IF(AND(project_size&lt;5,proj_type="SF"),"Project size is less than 5 acres",IF(Z26="Error", "&gt;&gt; Missing Required Inputs &lt;&lt;",""))</totalsRowFormula>
    </tableColumn>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17920FD-E572-46B2-9D7C-361D044C543E}" name="Table14" displayName="Table14" ref="A4:E12" totalsRowShown="0" headerRowDxfId="131" headerRowBorderDxfId="130">
  <autoFilter ref="A4:E12" xr:uid="{36607F6A-F1B9-476E-BAD9-8786EF36263A}">
    <filterColumn colId="0" hiddenButton="1"/>
    <filterColumn colId="1" hiddenButton="1"/>
    <filterColumn colId="2" hiddenButton="1"/>
    <filterColumn colId="3" hiddenButton="1"/>
    <filterColumn colId="4" hiddenButton="1"/>
  </autoFilter>
  <tableColumns count="5">
    <tableColumn id="1" xr3:uid="{6D34A5C2-0254-46AB-A0B8-B5D80BFAAF13}" name="Description" dataDxfId="129"/>
    <tableColumn id="2" xr3:uid="{DEFCA5B4-F308-4C40-AFBD-E3D40794D385}" name="Acres" dataDxfId="128" dataCellStyle="Calculation"/>
    <tableColumn id="3" xr3:uid="{A3C24D95-B331-4106-9C70-D1F547D7804D}" name="SQFT" dataDxfId="127" dataCellStyle="Comma"/>
    <tableColumn id="4" xr3:uid="{C7ED025B-586D-4952-8E23-A9B6E52DAC7E}" name="Units" dataDxfId="126"/>
    <tableColumn id="5" xr3:uid="{638892F0-15D8-4F3E-964F-49C86AE546DE}" name=" "/>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821C1BE5-2F89-447D-9487-3B200FD4A979}" name="Table15" displayName="Table15" ref="A15:E18" totalsRowShown="0" headerRowDxfId="125" headerRowBorderDxfId="124">
  <autoFilter ref="A15:E18" xr:uid="{E2C21C49-A851-436A-995F-A0CCAD40141E}">
    <filterColumn colId="0" hiddenButton="1"/>
    <filterColumn colId="1" hiddenButton="1"/>
    <filterColumn colId="2" hiddenButton="1"/>
    <filterColumn colId="3" hiddenButton="1"/>
    <filterColumn colId="4" hiddenButton="1"/>
  </autoFilter>
  <tableColumns count="5">
    <tableColumn id="1" xr3:uid="{096ED70E-479F-46E9-8D3B-A79F3AE538D0}" name="Description" dataDxfId="123"/>
    <tableColumn id="2" xr3:uid="{039E744A-83E8-45E2-9ADE-76D068E8B31B}" name="Quantity" dataDxfId="122" dataCellStyle="Calculation"/>
    <tableColumn id="3" xr3:uid="{AB31B5CA-E559-4AA2-83EB-207BE288AD9F}" name="Units" dataDxfId="121"/>
    <tableColumn id="4" xr3:uid="{7F74434E-2C68-4BD4-B552-18B463C705B3}" name="Notes" dataDxfId="120"/>
    <tableColumn id="5" xr3:uid="{6893EECB-255C-4E13-8A94-5394EF5A9B08}" name=" "/>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133B12BA-F584-4D1C-BEDA-D6428B0B6495}" name="Table18" displayName="Table18" ref="A21:E30" totalsRowShown="0" headerRowDxfId="119" headerRowBorderDxfId="118">
  <autoFilter ref="A21:E30" xr:uid="{60710F48-4C13-4FBE-AA13-02B914458360}">
    <filterColumn colId="0" hiddenButton="1"/>
    <filterColumn colId="1" hiddenButton="1"/>
    <filterColumn colId="2" hiddenButton="1"/>
    <filterColumn colId="3" hiddenButton="1"/>
    <filterColumn colId="4" hiddenButton="1"/>
  </autoFilter>
  <tableColumns count="5">
    <tableColumn id="1" xr3:uid="{3A21A98D-4127-490E-A4F1-BFFD313AFF54}" name="Description" dataDxfId="117"/>
    <tableColumn id="2" xr3:uid="{BC10AC5D-51DC-4D1B-B67A-4CA0E2B61E39}" name="Unit" dataDxfId="116" dataCellStyle="Calculation"/>
    <tableColumn id="3" xr3:uid="{4C2D3648-5077-4678-B269-7858E49AA1D3}" name="O.S. SQFT"/>
    <tableColumn id="4" xr3:uid="{83635587-DDFF-4125-AAF2-305EDAE631A1}" name="Per Type Ratio Total" dataDxfId="115"/>
    <tableColumn id="5" xr3:uid="{B273799A-EA2B-4F0D-BC37-2ED8C9847189}" name=" "/>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80EE7F73-04BD-4CD6-8430-348E6E78E80B}" name="Table19" displayName="Table19" ref="A33:E39" totalsRowShown="0" headerRowDxfId="114" dataDxfId="112" headerRowBorderDxfId="113">
  <autoFilter ref="A33:E39" xr:uid="{50313558-6020-42CB-84BC-7C85BEC300DC}">
    <filterColumn colId="0" hiddenButton="1"/>
    <filterColumn colId="1" hiddenButton="1"/>
    <filterColumn colId="2" hiddenButton="1"/>
    <filterColumn colId="3" hiddenButton="1"/>
    <filterColumn colId="4" hiddenButton="1"/>
  </autoFilter>
  <tableColumns count="5">
    <tableColumn id="1" xr3:uid="{E073C88A-8057-41E8-B5F0-9C5B24F4E2CC}" name="Description" dataDxfId="111"/>
    <tableColumn id="2" xr3:uid="{68499068-A15C-4199-93E9-9D2EE4E38A21}" name="Quantity">
      <calculatedColumnFormula>IF(OR(B4=0,B33=0),0,B33/B4)</calculatedColumnFormula>
    </tableColumn>
    <tableColumn id="3" xr3:uid="{2BB4AD2D-4E75-4271-8C75-1ADB0770B691}" name="Units" dataDxfId="110"/>
    <tableColumn id="4" xr3:uid="{9BDD99AC-55CE-4475-8C24-9D8DA5B548E5}" name="Notes" dataDxfId="109"/>
    <tableColumn id="5" xr3:uid="{2232CC37-9633-4E2B-8E5E-D4FF1077A9A3}" name=" " dataDxfId="108"/>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bit.ly/3zbKiGM" TargetMode="External"/><Relationship Id="rId7" Type="http://schemas.openxmlformats.org/officeDocument/2006/relationships/table" Target="../tables/table2.xml"/><Relationship Id="rId2" Type="http://schemas.openxmlformats.org/officeDocument/2006/relationships/hyperlink" Target="https://bit.ly/3EnLLNN" TargetMode="External"/><Relationship Id="rId1" Type="http://schemas.openxmlformats.org/officeDocument/2006/relationships/hyperlink" Target="https://meridiancity.org/planning/UDC" TargetMode="External"/><Relationship Id="rId6" Type="http://schemas.openxmlformats.org/officeDocument/2006/relationships/table" Target="../tables/table1.x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2.bin"/><Relationship Id="rId4" Type="http://schemas.openxmlformats.org/officeDocument/2006/relationships/table" Target="../tables/table5.xml"/></Relationships>
</file>

<file path=xl/worksheets/_rels/sheet3.xml.rels><?xml version="1.0" encoding="UTF-8" standalone="yes"?>
<Relationships xmlns="http://schemas.openxmlformats.org/package/2006/relationships"><Relationship Id="rId8" Type="http://schemas.openxmlformats.org/officeDocument/2006/relationships/table" Target="../tables/table11.xml"/><Relationship Id="rId3" Type="http://schemas.openxmlformats.org/officeDocument/2006/relationships/table" Target="../tables/table6.xml"/><Relationship Id="rId7" Type="http://schemas.openxmlformats.org/officeDocument/2006/relationships/table" Target="../tables/table10.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table" Target="../tables/table9.xml"/><Relationship Id="rId5" Type="http://schemas.openxmlformats.org/officeDocument/2006/relationships/table" Target="../tables/table8.xml"/><Relationship Id="rId10" Type="http://schemas.openxmlformats.org/officeDocument/2006/relationships/table" Target="../tables/table13.xml"/><Relationship Id="rId4" Type="http://schemas.openxmlformats.org/officeDocument/2006/relationships/table" Target="../tables/table7.xml"/><Relationship Id="rId9" Type="http://schemas.openxmlformats.org/officeDocument/2006/relationships/table" Target="../tables/table12.xml"/></Relationships>
</file>

<file path=xl/worksheets/_rels/sheet4.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table" Target="../tables/table17.xml"/><Relationship Id="rId5" Type="http://schemas.openxmlformats.org/officeDocument/2006/relationships/table" Target="../tables/table16.xml"/><Relationship Id="rId4" Type="http://schemas.openxmlformats.org/officeDocument/2006/relationships/table" Target="../tables/table15.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meridiancity.org/planning/compplan/premier" TargetMode="External"/><Relationship Id="rId1" Type="http://schemas.openxmlformats.org/officeDocument/2006/relationships/hyperlink" Target="https://meridiancity.org/planning/compplan/implementation" TargetMode="External"/><Relationship Id="rId4" Type="http://schemas.openxmlformats.org/officeDocument/2006/relationships/table" Target="../tables/table18.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B45039-BE68-421D-8F66-1565CE1B555B}">
  <sheetPr codeName="Sheet1">
    <tabColor theme="8" tint="-0.499984740745262"/>
  </sheetPr>
  <dimension ref="A1:F21"/>
  <sheetViews>
    <sheetView showGridLines="0" tabSelected="1" zoomScaleNormal="100" zoomScaleSheetLayoutView="100" workbookViewId="0">
      <selection activeCell="F4" sqref="F4"/>
    </sheetView>
  </sheetViews>
  <sheetFormatPr defaultRowHeight="15"/>
  <cols>
    <col min="1" max="1" width="25.5703125" customWidth="1"/>
    <col min="2" max="2" width="65.7109375" customWidth="1"/>
  </cols>
  <sheetData>
    <row r="1" spans="1:6" ht="30.75" customHeight="1">
      <c r="A1" s="29" t="s">
        <v>47</v>
      </c>
      <c r="B1" s="17"/>
    </row>
    <row r="2" spans="1:6" ht="38.25" customHeight="1" thickBot="1">
      <c r="A2" s="18" t="s">
        <v>62</v>
      </c>
      <c r="B2" s="18"/>
    </row>
    <row r="3" spans="1:6" ht="66.75" customHeight="1">
      <c r="A3" s="139" t="s">
        <v>230</v>
      </c>
      <c r="B3" s="139"/>
      <c r="F3" s="21"/>
    </row>
    <row r="4" spans="1:6" s="2" customFormat="1" ht="21.75" customHeight="1">
      <c r="A4" s="140" t="s">
        <v>48</v>
      </c>
      <c r="B4" s="140"/>
    </row>
    <row r="5" spans="1:6" s="1" customFormat="1" ht="19.5" customHeight="1">
      <c r="A5" s="20" t="s">
        <v>2</v>
      </c>
      <c r="B5" s="7" t="s">
        <v>55</v>
      </c>
    </row>
    <row r="6" spans="1:6" ht="19.5" customHeight="1">
      <c r="A6" s="8" t="s">
        <v>49</v>
      </c>
      <c r="B6" s="19" t="s">
        <v>53</v>
      </c>
    </row>
    <row r="7" spans="1:6" ht="19.5" customHeight="1">
      <c r="A7" s="8" t="s">
        <v>50</v>
      </c>
      <c r="B7" s="19" t="s">
        <v>54</v>
      </c>
    </row>
    <row r="8" spans="1:6" ht="19.5" customHeight="1">
      <c r="A8" s="8" t="s">
        <v>51</v>
      </c>
      <c r="B8" s="19" t="s">
        <v>52</v>
      </c>
    </row>
    <row r="9" spans="1:6" ht="55.5" customHeight="1">
      <c r="A9" s="138" t="s">
        <v>64</v>
      </c>
      <c r="B9" s="138"/>
    </row>
    <row r="10" spans="1:6" s="2" customFormat="1" ht="21.75" customHeight="1">
      <c r="A10" s="140" t="s">
        <v>136</v>
      </c>
      <c r="B10" s="140"/>
    </row>
    <row r="11" spans="1:6" s="1" customFormat="1" ht="19.5" customHeight="1">
      <c r="A11" s="20" t="s">
        <v>2</v>
      </c>
      <c r="B11" s="7" t="s">
        <v>55</v>
      </c>
    </row>
    <row r="12" spans="1:6" ht="19.5" customHeight="1">
      <c r="A12" s="12" t="s">
        <v>93</v>
      </c>
      <c r="B12" s="65" t="s">
        <v>94</v>
      </c>
    </row>
    <row r="13" spans="1:6" ht="19.5" customHeight="1">
      <c r="A13" s="12" t="s">
        <v>80</v>
      </c>
      <c r="B13" s="65" t="s">
        <v>94</v>
      </c>
    </row>
    <row r="14" spans="1:6" ht="19.5" customHeight="1">
      <c r="A14" s="12" t="s">
        <v>56</v>
      </c>
      <c r="B14" s="65" t="s">
        <v>94</v>
      </c>
    </row>
    <row r="15" spans="1:6" ht="19.5" customHeight="1">
      <c r="A15" s="12" t="s">
        <v>134</v>
      </c>
      <c r="B15" s="19" t="s">
        <v>94</v>
      </c>
    </row>
    <row r="16" spans="1:6" ht="84" customHeight="1">
      <c r="A16" s="138" t="s">
        <v>137</v>
      </c>
      <c r="B16" s="138"/>
    </row>
    <row r="17" spans="1:2" ht="24" customHeight="1">
      <c r="A17" s="22" t="s">
        <v>58</v>
      </c>
      <c r="B17" s="17"/>
    </row>
    <row r="18" spans="1:2" ht="36" customHeight="1">
      <c r="A18" s="137" t="s">
        <v>57</v>
      </c>
      <c r="B18" s="137"/>
    </row>
    <row r="20" spans="1:2">
      <c r="A20" s="118" t="s">
        <v>229</v>
      </c>
    </row>
    <row r="21" spans="1:2">
      <c r="A21" s="14"/>
    </row>
  </sheetData>
  <sheetProtection algorithmName="SHA-512" hashValue="jRtz4BRiqi0S02YZsNA7/3d4y0ohPqqGNwMQltHN/ACoWOEs4rouQ5LVT8oHQtnn4etYJ+JZ0uxEog9N+8l7EQ==" saltValue="AJBPjXCjitfzyVCqwYR9yw==" spinCount="100000" sheet="1" objects="1" scenarios="1"/>
  <mergeCells count="6">
    <mergeCell ref="A18:B18"/>
    <mergeCell ref="A9:B9"/>
    <mergeCell ref="A3:B3"/>
    <mergeCell ref="A4:B4"/>
    <mergeCell ref="A10:B10"/>
    <mergeCell ref="A16:B16"/>
  </mergeCells>
  <hyperlinks>
    <hyperlink ref="B8" r:id="rId1" xr:uid="{D17FA350-136A-46D4-8E71-5972FE468765}"/>
    <hyperlink ref="B6" r:id="rId2" xr:uid="{53FE04D7-D386-4E24-A210-64B258C3E2BC}"/>
    <hyperlink ref="B7" r:id="rId3" xr:uid="{6C4D8A51-D2DD-431B-981D-964E6E0960F0}"/>
    <hyperlink ref="B12" location="'O.S. Calculator'!A1" display="Link" xr:uid="{FEFC6D75-6C84-46E4-A143-5C83D5A5F04A}"/>
    <hyperlink ref="B15" location="'O.S. Policies (Informational)'!A1" display="Spreadsheet Link" xr:uid="{5A5EF031-5DB8-42CC-97B6-505393D9E018}"/>
    <hyperlink ref="B13" location="'O.S. Analysis'!A1" display="Link" xr:uid="{40C90E22-A40F-4C80-8A2A-A799E9634F16}"/>
    <hyperlink ref="B14" location="'O.S. Matrix (Informational)'!A1" display="Link" xr:uid="{C47E2195-97B8-4BCB-8D7C-BD9B74D9DAFD}"/>
  </hyperlinks>
  <pageMargins left="0.7" right="0.7" top="0.75" bottom="0.75" header="0.3" footer="0.3"/>
  <pageSetup scale="99" orientation="portrait" r:id="rId4"/>
  <headerFooter>
    <oddFooter>&amp;LResidential Open Space&amp;C&amp;A&amp;RPage &amp;P of &amp;N</oddFooter>
  </headerFooter>
  <drawing r:id="rId5"/>
  <tableParts count="2">
    <tablePart r:id="rId6"/>
    <tablePart r:id="rId7"/>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76BC2-B3C6-4C0D-91E7-30A51F21F038}">
  <sheetPr codeName="Sheet3">
    <tabColor theme="9" tint="-0.499984740745262"/>
  </sheetPr>
  <dimension ref="A1:Z29"/>
  <sheetViews>
    <sheetView showGridLines="0" zoomScaleNormal="100" zoomScaleSheetLayoutView="100" workbookViewId="0">
      <selection activeCell="G24" sqref="G24"/>
    </sheetView>
  </sheetViews>
  <sheetFormatPr defaultRowHeight="15"/>
  <cols>
    <col min="1" max="1" width="37.7109375" customWidth="1"/>
    <col min="2" max="2" width="10.85546875" customWidth="1"/>
    <col min="3" max="3" width="11.28515625" customWidth="1"/>
    <col min="4" max="4" width="32.140625" customWidth="1"/>
    <col min="26" max="26" width="0" style="69" hidden="1" customWidth="1"/>
  </cols>
  <sheetData>
    <row r="1" spans="1:26" ht="38.25" customHeight="1" thickBot="1">
      <c r="A1" s="60" t="s">
        <v>207</v>
      </c>
      <c r="B1" s="61"/>
      <c r="C1" s="60"/>
      <c r="D1" s="60"/>
      <c r="F1" s="128"/>
    </row>
    <row r="2" spans="1:26" ht="57.75" customHeight="1">
      <c r="A2" s="141" t="s">
        <v>190</v>
      </c>
      <c r="B2" s="141"/>
      <c r="C2" s="141"/>
      <c r="D2" s="141"/>
    </row>
    <row r="3" spans="1:26" ht="19.5" customHeight="1">
      <c r="A3" s="115" t="s">
        <v>76</v>
      </c>
      <c r="B3" s="115"/>
      <c r="C3" s="115"/>
      <c r="D3" s="33"/>
    </row>
    <row r="4" spans="1:26" ht="19.5" customHeight="1">
      <c r="A4" s="26" t="s">
        <v>2</v>
      </c>
      <c r="B4" s="6" t="s">
        <v>65</v>
      </c>
      <c r="C4" s="20" t="s">
        <v>13</v>
      </c>
      <c r="D4" s="20" t="s">
        <v>0</v>
      </c>
    </row>
    <row r="5" spans="1:26" ht="19.5" customHeight="1">
      <c r="A5" s="25" t="s">
        <v>140</v>
      </c>
      <c r="B5" s="71"/>
      <c r="C5" s="24" t="str">
        <f>IF(ISBLANK(proj_type),"&gt;&gt; Options are: SF, MF, or SF &amp; MF &lt;&lt;","Options are: SF, MF, or SF &amp; MF")</f>
        <v>&gt;&gt; Options are: SF, MF, or SF &amp; MF &lt;&lt;</v>
      </c>
      <c r="D5" s="49"/>
    </row>
    <row r="6" spans="1:26" ht="19.5" customHeight="1">
      <c r="A6" s="25" t="s">
        <v>141</v>
      </c>
      <c r="B6" s="72"/>
      <c r="C6" s="24" t="str">
        <f>IF(AND(OR(proj_type="SF",proj_type="SF &amp; MF"),zoning_select=""),"&gt;&gt; Zoning affects % O.S. for SF &lt;&lt;", "Zoning affects % O.S. for SF")</f>
        <v>Zoning affects % O.S. for SF</v>
      </c>
      <c r="D6" s="23"/>
      <c r="Z6" s="70">
        <f>IF(ISNUMBER(SEARCH("&gt;&gt;",C6)),1,0)</f>
        <v>0</v>
      </c>
    </row>
    <row r="7" spans="1:26" ht="19.5" customHeight="1">
      <c r="A7" s="25" t="s">
        <v>142</v>
      </c>
      <c r="B7" s="73"/>
      <c r="C7" s="24" t="str">
        <f>IF(AND(OR(proj_type="SF",proj_type="SF &amp; MF"),project_size=""),"&gt;&gt; Acres, SF Only. Zero if only MF &lt;&lt;", "Acres, SF Only. Zero if only MF")</f>
        <v>Acres, SF Only. Zero if only MF</v>
      </c>
      <c r="D7" s="23"/>
      <c r="Z7" s="70">
        <f>IF(ISNUMBER(SEARCH("&gt;&gt;",C7)),1,0)</f>
        <v>0</v>
      </c>
    </row>
    <row r="8" spans="1:26" ht="19.5" customHeight="1">
      <c r="A8" s="25" t="s">
        <v>143</v>
      </c>
      <c r="B8" s="73"/>
      <c r="C8" s="24" t="str">
        <f>IF(AND(project_size_MF="",OR(proj_type="MF",proj_type="SF &amp; MF")),"&gt;&gt; Acres, MF Only. Zero if only SF &lt;&lt;","Acres, MF Only. Zero if only SF")</f>
        <v>Acres, MF Only. Zero if only SF</v>
      </c>
      <c r="D8" s="23"/>
      <c r="Z8" s="70">
        <f>IF(ISNUMBER(SEARCH("&gt;&gt;",C8)),1,0)</f>
        <v>0</v>
      </c>
    </row>
    <row r="9" spans="1:26" ht="19.5" customHeight="1">
      <c r="A9" s="25" t="s">
        <v>144</v>
      </c>
      <c r="B9" s="74"/>
      <c r="C9" s="24" t="s">
        <v>103</v>
      </c>
      <c r="D9" s="23"/>
      <c r="Z9" s="70">
        <f>IF(ISNUMBER(SEARCH("&gt;&gt;",C9)),1,0)</f>
        <v>0</v>
      </c>
    </row>
    <row r="10" spans="1:26" ht="19.5" customHeight="1">
      <c r="A10" s="25" t="s">
        <v>139</v>
      </c>
      <c r="B10" s="117">
        <f>IF(OR(proj_type="MF",AND(ISBLANK(zoning_select),OR(proj_type="SF",proj_type="SF &amp; MF",ISBLANK(proj_type)))),0,INDEX(zoning_amounts,MATCH('O.S. Calculator'!B6,zoning_list,0)))</f>
        <v>0</v>
      </c>
      <c r="C10" s="24" t="s">
        <v>77</v>
      </c>
      <c r="D10" s="23"/>
      <c r="Z10" s="70">
        <f>IF(ISNUMBER(SEARCH("&gt;&gt;",C10)),1,0)</f>
        <v>0</v>
      </c>
    </row>
    <row r="11" spans="1:26" ht="64.5" customHeight="1">
      <c r="A11" s="143" t="s">
        <v>193</v>
      </c>
      <c r="B11" s="143"/>
      <c r="C11" s="143"/>
      <c r="D11" s="143"/>
      <c r="Z11" s="70"/>
    </row>
    <row r="12" spans="1:26" ht="19.5" customHeight="1">
      <c r="A12" s="115" t="s">
        <v>138</v>
      </c>
      <c r="B12" s="115"/>
      <c r="C12" s="115"/>
      <c r="D12" s="66"/>
      <c r="Z12" s="70"/>
    </row>
    <row r="13" spans="1:26" s="27" customFormat="1" ht="19.5" customHeight="1">
      <c r="A13" s="28" t="s">
        <v>2</v>
      </c>
      <c r="B13" s="9" t="s">
        <v>12</v>
      </c>
      <c r="C13" s="20" t="s">
        <v>13</v>
      </c>
      <c r="D13" s="20" t="s">
        <v>0</v>
      </c>
      <c r="Z13" s="70"/>
    </row>
    <row r="14" spans="1:26" ht="19.5" customHeight="1">
      <c r="A14" s="2" t="s">
        <v>145</v>
      </c>
      <c r="B14" s="74"/>
      <c r="C14" s="24" t="s">
        <v>95</v>
      </c>
      <c r="D14" s="24"/>
      <c r="Z14" s="70">
        <f>IF(ISNUMBER(SEARCH("&gt;&gt;",C14)),1,0)</f>
        <v>0</v>
      </c>
    </row>
    <row r="15" spans="1:26" ht="19.5" customHeight="1">
      <c r="A15" s="2" t="s">
        <v>146</v>
      </c>
      <c r="B15" s="74"/>
      <c r="C15" s="24" t="s">
        <v>96</v>
      </c>
      <c r="D15" s="24"/>
      <c r="Z15" s="70">
        <f>IF(ISNUMBER(SEARCH("&gt;&gt;",C15)),1,0)</f>
        <v>0</v>
      </c>
    </row>
    <row r="16" spans="1:26" ht="19.5" customHeight="1">
      <c r="A16" s="2" t="s">
        <v>147</v>
      </c>
      <c r="B16" s="75"/>
      <c r="C16" s="24" t="s">
        <v>75</v>
      </c>
      <c r="D16" s="24"/>
      <c r="Z16" s="70">
        <f>IF(ISNUMBER(SEARCH("&gt;&gt;",C16)),1,0)</f>
        <v>0</v>
      </c>
    </row>
    <row r="17" spans="1:26" ht="45.75" customHeight="1">
      <c r="A17" s="143" t="s">
        <v>97</v>
      </c>
      <c r="B17" s="143"/>
      <c r="C17" s="143"/>
      <c r="D17" s="143"/>
      <c r="Z17" s="70"/>
    </row>
    <row r="18" spans="1:26" ht="19.5" customHeight="1">
      <c r="A18" s="115" t="s">
        <v>63</v>
      </c>
      <c r="B18" s="114"/>
      <c r="C18" s="114"/>
      <c r="D18" s="33"/>
      <c r="Z18" s="70"/>
    </row>
    <row r="19" spans="1:26" ht="19.5" customHeight="1">
      <c r="A19" s="26" t="s">
        <v>2</v>
      </c>
      <c r="B19" s="6" t="s">
        <v>14</v>
      </c>
      <c r="C19" s="6" t="s">
        <v>3</v>
      </c>
      <c r="D19" s="31" t="s">
        <v>13</v>
      </c>
      <c r="Z19" s="70"/>
    </row>
    <row r="20" spans="1:26" ht="19.5" customHeight="1">
      <c r="A20" s="2" t="s">
        <v>151</v>
      </c>
      <c r="B20" s="105">
        <f>(IF(AND(OR(B5="SF", B5="SF &amp; MF"),project_size&gt;=5),required_per*project_size_SF,0))</f>
        <v>0</v>
      </c>
      <c r="C20" s="109">
        <f>Table_results[[#This Row],[Acres]]*SQFT_Acre</f>
        <v>0</v>
      </c>
      <c r="D20" s="24" t="s">
        <v>191</v>
      </c>
      <c r="Z20" s="70">
        <f t="shared" ref="Z20:Z25" si="0">IF(ISNUMBER(SEARCH("&gt;&gt;",D20)),1,0)</f>
        <v>0</v>
      </c>
    </row>
    <row r="21" spans="1:26" ht="19.5" customHeight="1">
      <c r="A21" s="2" t="s">
        <v>152</v>
      </c>
      <c r="B21" s="105">
        <f>(IF(OR(project_size_MF&lt;5,B5="SF"),0,Per_OS_MF*project_size_MF))</f>
        <v>0</v>
      </c>
      <c r="C21" s="109">
        <f>Table_results[[#This Row],[Acres]]*SQFT_Acre</f>
        <v>0</v>
      </c>
      <c r="D21" s="24" t="s">
        <v>192</v>
      </c>
      <c r="Z21" s="70">
        <f t="shared" si="0"/>
        <v>0</v>
      </c>
    </row>
    <row r="22" spans="1:26" ht="19.5" customHeight="1">
      <c r="A22" s="30" t="s">
        <v>79</v>
      </c>
      <c r="B22" s="105">
        <f>IF(B5="SF",0,SUM(B23:B25))</f>
        <v>0</v>
      </c>
      <c r="C22" s="109">
        <f>SUM(C23:C25)</f>
        <v>0</v>
      </c>
      <c r="D22" s="24" t="str">
        <f>IF(AND(SUM(Table_MF['# of Units])=0,project_size_MF&gt;0,OR(proj_type="MF",proj_type="SF &amp; MF")),"&gt;&gt; Please enter values for #2 &lt;&lt;","Sum of below sub totals")</f>
        <v>Sum of below sub totals</v>
      </c>
      <c r="Z22" s="70">
        <f t="shared" si="0"/>
        <v>0</v>
      </c>
    </row>
    <row r="23" spans="1:26" ht="19.5" customHeight="1">
      <c r="A23" s="35" t="s">
        <v>148</v>
      </c>
      <c r="B23" s="107">
        <f>IF(B5="SF",0,Table_results[[#This Row],[SQFT]]/SQFT_Acre)</f>
        <v>0</v>
      </c>
      <c r="C23" s="110">
        <f>IF(B5="SF",0,units_small*'Global Variables'!small_unit)</f>
        <v>0</v>
      </c>
      <c r="D23" s="24" t="str">
        <f>IF(AND(Table_results[[#This Row],[Acres]]&gt;0,OR(proj_type="SF",proj_type="")),"&gt;&gt; Error in #1A inputs &lt;&lt;","Sub unit total")</f>
        <v>Sub unit total</v>
      </c>
      <c r="Z23" s="70">
        <f t="shared" si="0"/>
        <v>0</v>
      </c>
    </row>
    <row r="24" spans="1:26" ht="19.5" customHeight="1">
      <c r="A24" s="35" t="s">
        <v>149</v>
      </c>
      <c r="B24" s="107">
        <f>IF(B5="SF",0,Table_results[[#This Row],[SQFT]]/SQFT_Acre)</f>
        <v>0</v>
      </c>
      <c r="C24" s="110">
        <f>IF(B5="SF",0,units_med*med_unit)</f>
        <v>0</v>
      </c>
      <c r="D24" s="24" t="str">
        <f>IF(AND(Table_results[[#This Row],[Acres]]&gt;0,OR(proj_type="SF",proj_type="")),"&gt;&gt; Error in #1A inputs &lt;&lt;","Sub unit total")</f>
        <v>Sub unit total</v>
      </c>
      <c r="Z24" s="70">
        <f t="shared" si="0"/>
        <v>0</v>
      </c>
    </row>
    <row r="25" spans="1:26" ht="19.5" customHeight="1">
      <c r="A25" s="35" t="s">
        <v>150</v>
      </c>
      <c r="B25" s="108">
        <f>IF(B5="SF",0,Table_results[[#This Row],[SQFT]]/SQFT_Acre)</f>
        <v>0</v>
      </c>
      <c r="C25" s="111">
        <f>IF(B5="SF",0,units_large*'Global Variables'!large_unit)</f>
        <v>0</v>
      </c>
      <c r="D25" s="24" t="str">
        <f>IF(AND(Table_results[[#This Row],[Acres]]&gt;0,OR(proj_type="SF",proj_type="")),"&gt;&gt; Error in #1A inputs &lt;&lt;","Sub unit total")</f>
        <v>Sub unit total</v>
      </c>
      <c r="Z25" s="70">
        <f t="shared" si="0"/>
        <v>0</v>
      </c>
    </row>
    <row r="26" spans="1:26" ht="19.5" customHeight="1">
      <c r="A26" s="30" t="s">
        <v>203</v>
      </c>
      <c r="B26" s="106">
        <f>B20+B21+B22</f>
        <v>0</v>
      </c>
      <c r="C26" s="112">
        <f>C20+C21+C22</f>
        <v>0</v>
      </c>
      <c r="D26" s="24" t="str">
        <f>IF(AND(project_size&lt;5,proj_type="SF"),"Project size is less than 5 acres",IF(Z26="Error", "&gt;&gt; Missing Required Inputs &lt;&lt;",""))</f>
        <v/>
      </c>
      <c r="Z26" s="69" t="str">
        <f>IF(SUM(Z4:Z25)&gt;0.5,"Error","Good")</f>
        <v>Good</v>
      </c>
    </row>
    <row r="27" spans="1:26" ht="18.75" customHeight="1"/>
    <row r="28" spans="1:26" ht="24" customHeight="1">
      <c r="A28" s="142" t="s">
        <v>58</v>
      </c>
      <c r="B28" s="142"/>
      <c r="C28" s="142"/>
      <c r="D28" s="22"/>
    </row>
    <row r="29" spans="1:26" ht="36" customHeight="1">
      <c r="A29" s="137" t="s">
        <v>57</v>
      </c>
      <c r="B29" s="137"/>
      <c r="C29" s="137"/>
      <c r="D29" s="137"/>
    </row>
  </sheetData>
  <sheetProtection algorithmName="SHA-512" hashValue="B7hl7CEVkxuK/LAp/tvsP0U6ypGywDdrfVUyMVot+l+Pu1BMtQmXPsnOk8TeEg24WSpcUvsMK8s9Ao63kbIuDQ==" saltValue="l6N2UxszHfWyyosJZ0MewQ==" spinCount="100000" sheet="1" objects="1" scenarios="1"/>
  <mergeCells count="5">
    <mergeCell ref="A2:D2"/>
    <mergeCell ref="A28:C28"/>
    <mergeCell ref="A29:D29"/>
    <mergeCell ref="A11:D11"/>
    <mergeCell ref="A17:D17"/>
  </mergeCells>
  <conditionalFormatting sqref="D20:D26 C5:C10">
    <cfRule type="containsText" dxfId="151" priority="3" operator="containsText" text="&gt;&gt;">
      <formula>NOT(ISERROR(SEARCH("&gt;&gt;",C5)))</formula>
    </cfRule>
  </conditionalFormatting>
  <dataValidations xWindow="326" yWindow="616" count="4">
    <dataValidation type="list" allowBlank="1" showInputMessage="1" showErrorMessage="1" sqref="B6" xr:uid="{0DB38A07-BE31-4B1A-9A54-2E6E0F7A56B6}">
      <formula1>zoning_list</formula1>
    </dataValidation>
    <dataValidation type="whole" operator="greaterThanOrEqual" showInputMessage="1" showErrorMessage="1" errorTitle="Oops!" error="Input must be a whole number." promptTitle="Hi there!" prompt="Input must be a whole number." sqref="B14:B16 B9" xr:uid="{6555B702-C8B0-4205-89D2-7E47C8ACD42C}">
      <formula1>0</formula1>
    </dataValidation>
    <dataValidation type="decimal" operator="greaterThanOrEqual" allowBlank="1" showErrorMessage="1" errorTitle="Oops!" error="Please enter a number (no letter or characters)" sqref="B7:B8" xr:uid="{D76094C8-17BE-4BDD-9500-36ECDF3D4F82}">
      <formula1>0</formula1>
    </dataValidation>
    <dataValidation type="list" allowBlank="1" showInputMessage="1" showErrorMessage="1" errorTitle="Error" error="Only drop down selections allowed." promptTitle="Check me out!" prompt="Use the drop down please." sqref="B5" xr:uid="{355E8B65-1723-4157-830A-DE1D1307DB9B}">
      <formula1>project_type</formula1>
    </dataValidation>
  </dataValidations>
  <pageMargins left="0.7" right="0.7" top="0.75" bottom="0.75" header="0.3" footer="0.3"/>
  <pageSetup scale="99" orientation="portrait" horizontalDpi="1200" verticalDpi="1200" r:id="rId1"/>
  <headerFooter>
    <oddFooter>&amp;LResidential Open Space&amp;C&amp;A&amp;RPage &amp;P of &amp;N</oddFooter>
  </headerFooter>
  <ignoredErrors>
    <ignoredError sqref="C22 C14:C16 C20 B23:C25 C10 B20:B22 C5:C9" calculatedColumn="1"/>
  </ignoredErrors>
  <tableParts count="3">
    <tablePart r:id="rId2"/>
    <tablePart r:id="rId3"/>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952AB8-223A-46A4-9767-12F502DAEFAB}">
  <sheetPr>
    <tabColor theme="9" tint="-0.499984740745262"/>
  </sheetPr>
  <dimension ref="A1:G101"/>
  <sheetViews>
    <sheetView showGridLines="0" zoomScaleNormal="100" zoomScaleSheetLayoutView="100" workbookViewId="0">
      <selection activeCell="G85" sqref="G85:G101"/>
    </sheetView>
  </sheetViews>
  <sheetFormatPr defaultRowHeight="15"/>
  <cols>
    <col min="1" max="1" width="36.5703125" customWidth="1"/>
    <col min="2" max="2" width="10.85546875" customWidth="1"/>
    <col min="3" max="3" width="12.85546875" customWidth="1"/>
    <col min="4" max="4" width="11.28515625" customWidth="1"/>
    <col min="5" max="5" width="18.85546875" customWidth="1"/>
  </cols>
  <sheetData>
    <row r="1" spans="1:7" ht="38.25" customHeight="1" thickBot="1">
      <c r="A1" s="60" t="s">
        <v>92</v>
      </c>
      <c r="B1" s="60"/>
      <c r="C1" s="60"/>
      <c r="D1" s="116"/>
      <c r="E1" s="60"/>
    </row>
    <row r="2" spans="1:7" ht="45" customHeight="1">
      <c r="A2" s="141" t="s">
        <v>211</v>
      </c>
      <c r="B2" s="141"/>
      <c r="C2" s="141"/>
      <c r="D2" s="141"/>
      <c r="E2" s="141"/>
      <c r="G2" s="128"/>
    </row>
    <row r="3" spans="1:7" ht="19.5" customHeight="1">
      <c r="A3" s="144" t="s">
        <v>178</v>
      </c>
      <c r="B3" s="144"/>
      <c r="C3" s="144"/>
      <c r="D3" s="144"/>
      <c r="E3" s="144"/>
    </row>
    <row r="4" spans="1:7" ht="19.5" customHeight="1">
      <c r="A4" s="26" t="s">
        <v>2</v>
      </c>
      <c r="B4" s="36" t="s">
        <v>14</v>
      </c>
      <c r="C4" s="36" t="s">
        <v>3</v>
      </c>
      <c r="D4" s="26" t="s">
        <v>1</v>
      </c>
      <c r="E4" s="26" t="s">
        <v>0</v>
      </c>
    </row>
    <row r="5" spans="1:7" ht="19.5" customHeight="1">
      <c r="A5" s="25" t="s">
        <v>228</v>
      </c>
      <c r="B5" s="55">
        <f>IF(proj_type="SF",project_size,IF(proj_type="MF",project_size_MF,project_size+project_size_MF))</f>
        <v>0</v>
      </c>
      <c r="C5" s="113">
        <f>B5*SQFT_Acre</f>
        <v>0</v>
      </c>
      <c r="D5" s="24"/>
    </row>
    <row r="6" spans="1:7" ht="19.5" customHeight="1">
      <c r="A6" s="25" t="s">
        <v>221</v>
      </c>
      <c r="B6" s="55">
        <f>Table_results[[#Totals],[Acres]]</f>
        <v>0</v>
      </c>
      <c r="C6" s="113">
        <f>Table_results[[#Totals],[SQFT]]</f>
        <v>0</v>
      </c>
      <c r="D6" s="24"/>
    </row>
    <row r="7" spans="1:7" ht="19.5" customHeight="1">
      <c r="A7" s="25" t="s">
        <v>227</v>
      </c>
      <c r="B7" s="47"/>
      <c r="C7" s="93"/>
      <c r="D7" s="24" t="s">
        <v>206</v>
      </c>
      <c r="G7" s="128"/>
    </row>
    <row r="8" spans="1:7" ht="19.5" customHeight="1">
      <c r="A8" s="25" t="s">
        <v>226</v>
      </c>
      <c r="B8" s="47"/>
      <c r="C8" s="93"/>
      <c r="D8" s="24" t="s">
        <v>206</v>
      </c>
      <c r="G8" s="128"/>
    </row>
    <row r="9" spans="1:7" ht="19.5" customHeight="1">
      <c r="A9" s="25" t="s">
        <v>225</v>
      </c>
      <c r="B9" s="47"/>
      <c r="C9" s="93"/>
      <c r="D9" s="24" t="s">
        <v>186</v>
      </c>
    </row>
    <row r="10" spans="1:7" ht="19.5" customHeight="1">
      <c r="A10" s="25" t="s">
        <v>223</v>
      </c>
      <c r="B10" s="55">
        <f>IF(B6=0,0,B6-(C9/SQFT_Acre))</f>
        <v>0</v>
      </c>
      <c r="C10" s="113">
        <f>B10*SQFT_Acre</f>
        <v>0</v>
      </c>
      <c r="D10" s="24"/>
    </row>
    <row r="11" spans="1:7" ht="19.5" customHeight="1">
      <c r="A11" s="25" t="s">
        <v>224</v>
      </c>
      <c r="B11" s="10"/>
      <c r="C11" s="93"/>
      <c r="D11" s="24" t="s">
        <v>185</v>
      </c>
    </row>
    <row r="12" spans="1:7" ht="19.5" customHeight="1">
      <c r="A12" s="97" t="s">
        <v>222</v>
      </c>
      <c r="B12" s="124">
        <f>Table14[[#This Row],[SQFT]]/SQFT_Acre</f>
        <v>0</v>
      </c>
      <c r="C12" s="127">
        <f>C5-(C6+extra_OS+extra_OS_MF)</f>
        <v>0</v>
      </c>
      <c r="D12" s="98"/>
      <c r="E12" s="125"/>
      <c r="G12" s="128"/>
    </row>
    <row r="13" spans="1:7">
      <c r="A13" s="25"/>
      <c r="B13" s="11"/>
      <c r="C13" s="24"/>
      <c r="D13" s="24"/>
      <c r="E13" s="23"/>
    </row>
    <row r="14" spans="1:7" ht="19.5" customHeight="1">
      <c r="A14" s="144" t="s">
        <v>179</v>
      </c>
      <c r="B14" s="144"/>
      <c r="C14" s="144"/>
      <c r="D14" s="144"/>
      <c r="E14" s="144"/>
    </row>
    <row r="15" spans="1:7" ht="19.5" customHeight="1">
      <c r="A15" s="26" t="s">
        <v>2</v>
      </c>
      <c r="B15" s="36" t="s">
        <v>81</v>
      </c>
      <c r="C15" s="36" t="s">
        <v>1</v>
      </c>
      <c r="D15" s="26" t="s">
        <v>13</v>
      </c>
      <c r="E15" s="26" t="s">
        <v>0</v>
      </c>
    </row>
    <row r="16" spans="1:7" ht="19.5" customHeight="1">
      <c r="A16" s="97" t="s">
        <v>177</v>
      </c>
      <c r="B16" s="56">
        <f>IF(proj_type="MF",0,units_sf)</f>
        <v>0</v>
      </c>
      <c r="C16" s="98" t="s">
        <v>1</v>
      </c>
      <c r="D16" s="98" t="s">
        <v>183</v>
      </c>
      <c r="E16" s="32"/>
    </row>
    <row r="17" spans="1:5" ht="19.5" customHeight="1">
      <c r="A17" s="97" t="s">
        <v>175</v>
      </c>
      <c r="B17" s="55">
        <f>IF(proj_type="MF",0,'O.S. Calculator'!B20+(extra_OS_SF/SQFT_Acre))</f>
        <v>0</v>
      </c>
      <c r="C17" s="98" t="s">
        <v>14</v>
      </c>
      <c r="D17" s="98"/>
      <c r="E17" s="32"/>
    </row>
    <row r="18" spans="1:5" ht="19.5" customHeight="1">
      <c r="A18" s="25" t="s">
        <v>84</v>
      </c>
      <c r="B18" s="126">
        <f>IF(B16=0,0,(B17*SQFT_Acre/B16))</f>
        <v>0</v>
      </c>
      <c r="C18" s="24" t="s">
        <v>3</v>
      </c>
      <c r="D18" s="24" t="str">
        <f>IF($B$6=0,"",ROUND(SQRT(B18),0)&amp;" feet x "&amp;ROUND(SQRT(B18),0)&amp;" feet per unit")</f>
        <v/>
      </c>
    </row>
    <row r="19" spans="1:5">
      <c r="A19" s="143"/>
      <c r="B19" s="143"/>
      <c r="C19" s="143"/>
      <c r="D19" s="143"/>
      <c r="E19" s="143"/>
    </row>
    <row r="20" spans="1:5" ht="19.5" customHeight="1">
      <c r="A20" s="144" t="s">
        <v>180</v>
      </c>
      <c r="B20" s="144"/>
      <c r="C20" s="144"/>
      <c r="D20" s="144"/>
      <c r="E20" s="144"/>
    </row>
    <row r="21" spans="1:5" ht="33" customHeight="1">
      <c r="A21" s="26" t="s">
        <v>2</v>
      </c>
      <c r="B21" s="36" t="s">
        <v>7</v>
      </c>
      <c r="C21" s="26" t="s">
        <v>89</v>
      </c>
      <c r="D21" s="38" t="s">
        <v>168</v>
      </c>
      <c r="E21" s="26" t="s">
        <v>0</v>
      </c>
    </row>
    <row r="22" spans="1:5" ht="19.5" customHeight="1">
      <c r="A22" s="25" t="s">
        <v>91</v>
      </c>
      <c r="B22" s="56">
        <f>IF(proj_type="SF",0,SUM(B23:B25))</f>
        <v>0</v>
      </c>
      <c r="C22" s="24"/>
      <c r="D22" s="24"/>
    </row>
    <row r="23" spans="1:5" ht="19.5" customHeight="1">
      <c r="A23" s="25" t="s">
        <v>171</v>
      </c>
      <c r="B23" s="101">
        <f>IF(proj_type="SF",0,units_small)</f>
        <v>0</v>
      </c>
      <c r="C23" s="102">
        <f>'O.S. Calculator'!C23</f>
        <v>0</v>
      </c>
      <c r="D23" s="100" t="str">
        <f>IF(OR(B23=0,C23=0),"",C23/$C$27)</f>
        <v/>
      </c>
    </row>
    <row r="24" spans="1:5" ht="19.5" customHeight="1">
      <c r="A24" s="25" t="s">
        <v>172</v>
      </c>
      <c r="B24" s="101">
        <f>IF(proj_type="SF",0,units_med)</f>
        <v>0</v>
      </c>
      <c r="C24" s="102">
        <f>'O.S. Calculator'!C24</f>
        <v>0</v>
      </c>
      <c r="D24" s="100" t="str">
        <f>IF(OR(B24=0,C24=0),"",C24/$C$27)</f>
        <v/>
      </c>
    </row>
    <row r="25" spans="1:5" ht="19.5" customHeight="1">
      <c r="A25" s="25" t="s">
        <v>173</v>
      </c>
      <c r="B25" s="101">
        <f>IF(proj_type="SF",0,units_large)</f>
        <v>0</v>
      </c>
      <c r="C25" s="102">
        <f>'O.S. Calculator'!C25</f>
        <v>0</v>
      </c>
      <c r="D25" s="100" t="str">
        <f>IF(OR(B25=0,C25=0),"",C25/$C$27)</f>
        <v/>
      </c>
    </row>
    <row r="26" spans="1:5" ht="19.5" customHeight="1">
      <c r="A26" s="25" t="s">
        <v>175</v>
      </c>
      <c r="B26" s="10"/>
      <c r="C26" s="37">
        <f>C27+C28+C29</f>
        <v>0</v>
      </c>
    </row>
    <row r="27" spans="1:5" ht="19.5" customHeight="1">
      <c r="A27" s="25" t="s">
        <v>212</v>
      </c>
      <c r="B27" s="10"/>
      <c r="C27" s="99">
        <f>SUM(C23:C25)</f>
        <v>0</v>
      </c>
      <c r="D27" s="100" t="str">
        <f>IF($C$26=0,"",Table18[[#This Row],[O.S. SQFT]]/$C$26)</f>
        <v/>
      </c>
    </row>
    <row r="28" spans="1:5" ht="19.5" customHeight="1">
      <c r="A28" s="25" t="s">
        <v>213</v>
      </c>
      <c r="B28" s="10"/>
      <c r="C28" s="99">
        <f>'O.S. Calculator'!C21</f>
        <v>0</v>
      </c>
      <c r="D28" s="100" t="str">
        <f>IF($C$26=0,"",Table18[[#This Row],[O.S. SQFT]]/$C$26)</f>
        <v/>
      </c>
    </row>
    <row r="29" spans="1:5" ht="19.5" customHeight="1">
      <c r="A29" s="25" t="s">
        <v>205</v>
      </c>
      <c r="B29" s="10"/>
      <c r="C29" s="99">
        <f>extra_OS_MF</f>
        <v>0</v>
      </c>
      <c r="D29" s="100" t="str">
        <f>IF($C$26=0,"",Table18[[#This Row],[O.S. SQFT]]/$C$26)</f>
        <v/>
      </c>
    </row>
    <row r="30" spans="1:5" ht="19.5" customHeight="1">
      <c r="A30" s="25" t="s">
        <v>174</v>
      </c>
      <c r="B30" s="10"/>
      <c r="C30" s="68">
        <f>IF(B22=0,0,C26/B22)</f>
        <v>0</v>
      </c>
      <c r="D30" s="24"/>
    </row>
    <row r="31" spans="1:5">
      <c r="A31" s="143"/>
      <c r="B31" s="143"/>
      <c r="C31" s="143"/>
      <c r="D31" s="143"/>
      <c r="E31" s="143"/>
    </row>
    <row r="32" spans="1:5" ht="19.5" customHeight="1">
      <c r="A32" s="144" t="s">
        <v>181</v>
      </c>
      <c r="B32" s="144"/>
      <c r="C32" s="144"/>
      <c r="D32" s="144"/>
      <c r="E32" s="144"/>
    </row>
    <row r="33" spans="1:7" ht="19.5" customHeight="1">
      <c r="A33" s="26" t="s">
        <v>2</v>
      </c>
      <c r="B33" s="36" t="s">
        <v>81</v>
      </c>
      <c r="C33" s="36" t="s">
        <v>1</v>
      </c>
      <c r="D33" s="26" t="s">
        <v>13</v>
      </c>
      <c r="E33" s="26" t="s">
        <v>0</v>
      </c>
    </row>
    <row r="34" spans="1:7" ht="19.5" customHeight="1">
      <c r="A34" s="25" t="s">
        <v>90</v>
      </c>
      <c r="B34" s="42">
        <f>B35+B36</f>
        <v>0</v>
      </c>
      <c r="C34" s="24" t="s">
        <v>1</v>
      </c>
      <c r="D34" s="24" t="s">
        <v>184</v>
      </c>
      <c r="E34" s="24"/>
    </row>
    <row r="35" spans="1:7" ht="19.5" customHeight="1">
      <c r="A35" s="25" t="s">
        <v>169</v>
      </c>
      <c r="B35" s="94">
        <f>IF(proj_type="MF",0,units_sf)</f>
        <v>0</v>
      </c>
      <c r="C35" s="24" t="s">
        <v>1</v>
      </c>
      <c r="D35" s="24"/>
      <c r="E35" s="24"/>
    </row>
    <row r="36" spans="1:7" ht="19.5" customHeight="1">
      <c r="A36" s="25" t="s">
        <v>170</v>
      </c>
      <c r="B36" s="94">
        <f>IF(proj_type="SF",0,B22)</f>
        <v>0</v>
      </c>
      <c r="C36" s="24" t="s">
        <v>1</v>
      </c>
      <c r="D36" s="24"/>
      <c r="E36" s="24"/>
    </row>
    <row r="37" spans="1:7" ht="19.5" customHeight="1">
      <c r="A37" s="25" t="s">
        <v>83</v>
      </c>
      <c r="B37" s="41">
        <f>IF(OR($B$5=0,$B$34=0),0,$B$34/$B$5)</f>
        <v>0</v>
      </c>
      <c r="C37" s="24" t="s">
        <v>82</v>
      </c>
      <c r="D37" s="24"/>
      <c r="E37" s="24"/>
    </row>
    <row r="38" spans="1:7" ht="19.5" customHeight="1">
      <c r="A38" s="25" t="s">
        <v>166</v>
      </c>
      <c r="B38" s="95">
        <f>IF(OR(project_size=0,B35=0),0,units_sf/project_size)</f>
        <v>0</v>
      </c>
      <c r="C38" s="24" t="s">
        <v>82</v>
      </c>
      <c r="D38" s="24"/>
      <c r="E38" s="24"/>
    </row>
    <row r="39" spans="1:7" ht="19.5" customHeight="1">
      <c r="A39" s="25" t="s">
        <v>167</v>
      </c>
      <c r="B39" s="96">
        <f>IF(OR(project_size_MF=0,$B$34=0),0,'O.S. Analysis'!$B$22/project_size_MF)</f>
        <v>0</v>
      </c>
      <c r="C39" s="24" t="s">
        <v>82</v>
      </c>
      <c r="D39" s="24"/>
      <c r="E39" s="24"/>
    </row>
    <row r="40" spans="1:7">
      <c r="A40" s="25"/>
      <c r="B40" s="11"/>
      <c r="C40" s="24"/>
      <c r="D40" s="24"/>
      <c r="E40" s="23"/>
    </row>
    <row r="41" spans="1:7" ht="19.5" customHeight="1">
      <c r="A41" s="144" t="s">
        <v>182</v>
      </c>
      <c r="B41" s="144"/>
      <c r="C41" s="144"/>
      <c r="D41" s="144"/>
      <c r="E41" s="144"/>
    </row>
    <row r="42" spans="1:7" ht="33" customHeight="1">
      <c r="A42" s="26" t="s">
        <v>2</v>
      </c>
      <c r="B42" s="36" t="s">
        <v>14</v>
      </c>
      <c r="C42" s="36" t="s">
        <v>3</v>
      </c>
      <c r="D42" s="38" t="s">
        <v>168</v>
      </c>
      <c r="E42" s="26" t="s">
        <v>0</v>
      </c>
    </row>
    <row r="43" spans="1:7" ht="19.5" customHeight="1">
      <c r="A43" s="32" t="s">
        <v>39</v>
      </c>
      <c r="B43" s="39">
        <f>proj_size_acres</f>
        <v>0</v>
      </c>
      <c r="C43" s="40">
        <f>proj_size_SQFT</f>
        <v>0</v>
      </c>
      <c r="D43" s="103" t="str">
        <f>IF(Table20[[#This Row],[Acres]]=0,"",Table20[[#This Row],[Acres]]/Table20[[#This Row],[Acres]])</f>
        <v/>
      </c>
      <c r="E43" s="32"/>
    </row>
    <row r="44" spans="1:7" ht="19.5" customHeight="1">
      <c r="A44" s="129" t="s">
        <v>217</v>
      </c>
      <c r="B44" s="95">
        <f>Table_results[[#Totals],[Acres]]</f>
        <v>0</v>
      </c>
      <c r="C44" s="94">
        <f>Table_results[[#Totals],[SQFT]]</f>
        <v>0</v>
      </c>
      <c r="D44" s="104" t="str">
        <f>IF(AND($B$43&gt;0,Table20[[#This Row],[Acres]]&gt;0),Table20[[#This Row],[Acres]]/$B$43,"")</f>
        <v/>
      </c>
      <c r="E44" s="32"/>
      <c r="G44" s="132"/>
    </row>
    <row r="45" spans="1:7" ht="19.5" customHeight="1">
      <c r="A45" s="25" t="s">
        <v>218</v>
      </c>
      <c r="B45" s="95">
        <f>IF(minOS_SQFT&gt;0,Table20[[#This Row],[SQFT]]/SQFT_Acre,0)</f>
        <v>0</v>
      </c>
      <c r="C45" s="94">
        <f>extra_OS+extra_OS_MF</f>
        <v>0</v>
      </c>
      <c r="D45" s="104" t="str">
        <f>IF(AND($B$43&gt;0,Table20[[#This Row],[Acres]]&gt;0),Table20[[#This Row],[Acres]]/$B$43,"")</f>
        <v/>
      </c>
      <c r="E45" s="130"/>
    </row>
    <row r="46" spans="1:7" ht="19.5" customHeight="1">
      <c r="A46" s="97" t="s">
        <v>219</v>
      </c>
      <c r="B46" s="95">
        <f>t_OS_acres</f>
        <v>0</v>
      </c>
      <c r="C46" s="94">
        <f>t_OS_SQFT</f>
        <v>0</v>
      </c>
      <c r="D46" s="104" t="str">
        <f>IF(AND($B$43&gt;0,Table20[[#This Row],[Acres]]&gt;0),Table20[[#This Row],[Acres]]/$B$43,"")</f>
        <v/>
      </c>
      <c r="E46" s="32"/>
      <c r="G46" s="128"/>
    </row>
    <row r="47" spans="1:7" ht="19.5" customHeight="1">
      <c r="A47" s="131" t="s">
        <v>216</v>
      </c>
      <c r="B47" s="41">
        <f>$B$44+$B$45</f>
        <v>0</v>
      </c>
      <c r="C47" s="42">
        <f>minOS_SQFT+extra_OS+extra_OS_MF</f>
        <v>0</v>
      </c>
      <c r="D47" s="103" t="str">
        <f>IF(Table20[[#This Row],[Acres]]&gt;0,Table20[[#This Row],[Acres]]/Table20[[#This Row],[Acres]],"")</f>
        <v/>
      </c>
      <c r="E47" s="130"/>
    </row>
    <row r="48" spans="1:7" ht="19.5" customHeight="1">
      <c r="A48" s="25" t="s">
        <v>214</v>
      </c>
      <c r="B48" s="95">
        <f>Table20[[#This Row],[SQFT]]/SQFT_Acre</f>
        <v>0</v>
      </c>
      <c r="C48" s="94">
        <f>OS_NonQual</f>
        <v>0</v>
      </c>
      <c r="D48" s="104" t="str">
        <f>IF(AND($B$47&gt;0,Table20[[#This Row],[Acres]]&gt;0),Table20[[#This Row],[Acres]]/$B$47,"")</f>
        <v/>
      </c>
      <c r="E48" s="32"/>
      <c r="G48" s="132"/>
    </row>
    <row r="49" spans="1:7" ht="19.5" customHeight="1">
      <c r="A49" s="25" t="s">
        <v>215</v>
      </c>
      <c r="B49" s="95">
        <f>C49/SQFT_Acre</f>
        <v>0</v>
      </c>
      <c r="C49" s="94">
        <f>IF(B6=0,0,$C$47-C48)</f>
        <v>0</v>
      </c>
      <c r="D49" s="104" t="str">
        <f>IF(AND($B$47&gt;0,Table20[[#This Row],[Acres]]&gt;0),Table20[[#This Row],[Acres]]/$B$47,"")</f>
        <v/>
      </c>
      <c r="E49" s="32"/>
    </row>
    <row r="50" spans="1:7" ht="19.5" customHeight="1">
      <c r="A50" s="25" t="s">
        <v>88</v>
      </c>
      <c r="B50" s="41">
        <f>IF(C11&gt;0,Table20[[#This Row],[SQFT]]/SQFT_Acre,0)</f>
        <v>0</v>
      </c>
      <c r="C50" s="42">
        <f>OS_Usable</f>
        <v>0</v>
      </c>
      <c r="D50" s="103" t="str">
        <f>IF(AND($B$43&gt;0,Table20[[#This Row],[Acres]]&gt;0),Table20[[#This Row],[Acres]]/$B$43,"")</f>
        <v/>
      </c>
      <c r="E50" s="32"/>
    </row>
    <row r="51" spans="1:7" ht="19.5" customHeight="1">
      <c r="A51" s="136" t="s">
        <v>220</v>
      </c>
      <c r="B51" s="134"/>
      <c r="C51" s="135"/>
      <c r="D51" s="133" t="str">
        <f>IF(t_prop_OS=0,"",t_prop_OS/proj_size_SQFT)</f>
        <v/>
      </c>
      <c r="E51" s="130"/>
    </row>
    <row r="52" spans="1:7">
      <c r="G52" s="128"/>
    </row>
    <row r="67" spans="1:7" ht="19.5" customHeight="1"/>
    <row r="68" spans="1:7" ht="19.5" customHeight="1">
      <c r="A68" s="26" t="s">
        <v>2</v>
      </c>
      <c r="B68" s="36" t="s">
        <v>81</v>
      </c>
      <c r="C68" s="36" t="s">
        <v>1</v>
      </c>
      <c r="D68" s="26" t="s">
        <v>13</v>
      </c>
      <c r="E68" s="26" t="s">
        <v>0</v>
      </c>
    </row>
    <row r="69" spans="1:7" ht="19.5" customHeight="1">
      <c r="A69" s="25" t="s">
        <v>87</v>
      </c>
      <c r="B69" s="15">
        <f>IF(DU_total=0,0,t_prop_OS/DU_total)</f>
        <v>0</v>
      </c>
      <c r="C69" s="24" t="s">
        <v>3</v>
      </c>
      <c r="D69" s="24" t="str">
        <f>IF($B$6=0,"",ROUND(SQRT(B69),0)&amp;" feet x "&amp;ROUND(SQRT(B69),0)&amp;" feet per unit")</f>
        <v/>
      </c>
      <c r="E69" s="34"/>
    </row>
    <row r="70" spans="1:7" ht="19.5" customHeight="1">
      <c r="A70" s="25" t="s">
        <v>86</v>
      </c>
      <c r="B70" s="15">
        <f>IF(DU_total=0,0,t_OS_Qual/DU_total)</f>
        <v>0</v>
      </c>
      <c r="C70" s="24" t="s">
        <v>3</v>
      </c>
      <c r="D70" s="24" t="str">
        <f>IF($B$6=0,"",ROUND(SQRT(B70),0)&amp;" feet x "&amp;ROUND(SQRT(B70),0)&amp;" feet per unit")</f>
        <v/>
      </c>
      <c r="E70" s="34"/>
    </row>
    <row r="71" spans="1:7" ht="19.5" customHeight="1">
      <c r="A71" s="25" t="s">
        <v>85</v>
      </c>
      <c r="B71" s="67">
        <f>IF(DU_total=0,0,t_usable_OS/DU_total)</f>
        <v>0</v>
      </c>
      <c r="C71" s="24" t="s">
        <v>3</v>
      </c>
      <c r="D71" s="24" t="str">
        <f>IF($B$6=0,"",ROUND(SQRT(B71),0)&amp;" feet x "&amp;ROUND(SQRT(B71),0)&amp;" feet per unit")</f>
        <v/>
      </c>
      <c r="E71" s="34"/>
    </row>
    <row r="72" spans="1:7">
      <c r="G72" s="128"/>
    </row>
    <row r="87" spans="1:7" ht="19.5" customHeight="1">
      <c r="A87" s="26" t="s">
        <v>2</v>
      </c>
      <c r="B87" s="36" t="s">
        <v>81</v>
      </c>
      <c r="C87" s="36" t="s">
        <v>1</v>
      </c>
      <c r="D87" s="26" t="s">
        <v>13</v>
      </c>
      <c r="E87" s="26" t="s">
        <v>0</v>
      </c>
    </row>
    <row r="88" spans="1:7" ht="19.5" customHeight="1">
      <c r="A88" s="25" t="s">
        <v>208</v>
      </c>
      <c r="B88" s="15">
        <f>IF(avg_p_unit_t=0,0,avg_p_unit_t*20)</f>
        <v>0</v>
      </c>
      <c r="C88" s="24" t="s">
        <v>3</v>
      </c>
      <c r="D88" s="24" t="str">
        <f t="shared" ref="D88:D90" si="0">IF($B$6=0,"",ROUND(SQRT(B88),0)&amp;" feet x "&amp;ROUND(SQRT(B88),0)&amp;" feet per 20 units")</f>
        <v/>
      </c>
      <c r="E88" s="34"/>
      <c r="G88" s="128"/>
    </row>
    <row r="89" spans="1:7" ht="19.5" customHeight="1">
      <c r="A89" s="25" t="s">
        <v>209</v>
      </c>
      <c r="B89" s="15">
        <f>IF(avg_p_unit_q=0,0,avg_p_unit_q*20)</f>
        <v>0</v>
      </c>
      <c r="C89" s="24" t="s">
        <v>3</v>
      </c>
      <c r="D89" s="24" t="str">
        <f t="shared" si="0"/>
        <v/>
      </c>
      <c r="E89" s="34"/>
      <c r="G89" s="128"/>
    </row>
    <row r="90" spans="1:7" ht="19.5" customHeight="1">
      <c r="A90" s="25" t="s">
        <v>210</v>
      </c>
      <c r="B90" s="67">
        <f>IF(avg_p_unit_u=0,0,avg_p_unit_u*20)</f>
        <v>0</v>
      </c>
      <c r="C90" s="24" t="s">
        <v>3</v>
      </c>
      <c r="D90" s="24" t="str">
        <f t="shared" si="0"/>
        <v/>
      </c>
      <c r="E90" s="34"/>
      <c r="G90" s="128"/>
    </row>
    <row r="91" spans="1:7" s="123" customFormat="1" ht="19.5" customHeight="1">
      <c r="A91" s="121"/>
      <c r="B91" s="34"/>
      <c r="C91" s="122"/>
      <c r="D91" s="122"/>
      <c r="E91" s="34"/>
    </row>
    <row r="92" spans="1:7" ht="19.5" customHeight="1">
      <c r="A92" s="26" t="s">
        <v>2</v>
      </c>
      <c r="B92" s="36" t="s">
        <v>81</v>
      </c>
      <c r="C92" s="36" t="s">
        <v>1</v>
      </c>
      <c r="D92" s="26" t="s">
        <v>13</v>
      </c>
      <c r="E92" s="26" t="s">
        <v>0</v>
      </c>
    </row>
    <row r="93" spans="1:7" ht="19.5" customHeight="1">
      <c r="A93" s="25" t="s">
        <v>197</v>
      </c>
      <c r="B93" s="15">
        <f>avg_p_unit_t/avg_HH_SF</f>
        <v>0</v>
      </c>
      <c r="C93" s="24" t="s">
        <v>3</v>
      </c>
      <c r="D93" s="24" t="str">
        <f t="shared" ref="D93:D98" si="1">IF($B$6=0,"",ROUND(SQRT(B93),0)&amp;" feet x "&amp;ROUND(SQRT(B93),0)&amp;" feet per person")</f>
        <v/>
      </c>
      <c r="E93" s="24"/>
      <c r="G93" s="128"/>
    </row>
    <row r="94" spans="1:7" ht="19.5" customHeight="1">
      <c r="A94" s="25" t="s">
        <v>198</v>
      </c>
      <c r="B94" s="15">
        <f>avg_p_unit_t/avg_HH_MF</f>
        <v>0</v>
      </c>
      <c r="C94" s="24" t="s">
        <v>3</v>
      </c>
      <c r="D94" s="24" t="str">
        <f t="shared" si="1"/>
        <v/>
      </c>
      <c r="E94" s="24"/>
      <c r="G94" s="128"/>
    </row>
    <row r="95" spans="1:7" ht="19.5" customHeight="1">
      <c r="A95" s="25" t="s">
        <v>199</v>
      </c>
      <c r="B95" s="15">
        <f>avg_p_unit_q/avg_HH_SF</f>
        <v>0</v>
      </c>
      <c r="C95" s="24" t="s">
        <v>3</v>
      </c>
      <c r="D95" s="24" t="str">
        <f t="shared" si="1"/>
        <v/>
      </c>
      <c r="E95" s="24"/>
      <c r="G95" s="128"/>
    </row>
    <row r="96" spans="1:7" ht="19.5" customHeight="1">
      <c r="A96" s="25" t="s">
        <v>200</v>
      </c>
      <c r="B96" s="15">
        <f>avg_p_unit_q/avg_HH_MF</f>
        <v>0</v>
      </c>
      <c r="C96" s="24" t="s">
        <v>3</v>
      </c>
      <c r="D96" s="119" t="str">
        <f t="shared" si="1"/>
        <v/>
      </c>
      <c r="E96" s="119"/>
      <c r="G96" s="128"/>
    </row>
    <row r="97" spans="1:7" ht="19.5" customHeight="1">
      <c r="A97" s="25" t="s">
        <v>201</v>
      </c>
      <c r="B97" s="15">
        <f>avg_p_unit_u/avg_HH_SF</f>
        <v>0</v>
      </c>
      <c r="C97" s="24" t="s">
        <v>3</v>
      </c>
      <c r="D97" s="119" t="str">
        <f t="shared" si="1"/>
        <v/>
      </c>
      <c r="E97" s="119"/>
      <c r="G97" s="128"/>
    </row>
    <row r="98" spans="1:7" ht="19.5" customHeight="1">
      <c r="A98" s="97" t="s">
        <v>202</v>
      </c>
      <c r="B98" s="67">
        <f>avg_p_unit_u/avg_HH_MF</f>
        <v>0</v>
      </c>
      <c r="C98" s="24" t="s">
        <v>3</v>
      </c>
      <c r="D98" s="120" t="str">
        <f t="shared" si="1"/>
        <v/>
      </c>
      <c r="E98" s="120"/>
      <c r="G98" s="128"/>
    </row>
    <row r="99" spans="1:7" ht="19.5" customHeight="1">
      <c r="A99" s="25"/>
      <c r="B99" s="34"/>
      <c r="C99" s="24"/>
      <c r="D99" s="24"/>
      <c r="E99" s="34"/>
    </row>
    <row r="100" spans="1:7" ht="24" customHeight="1">
      <c r="A100" s="142" t="s">
        <v>58</v>
      </c>
      <c r="B100" s="142"/>
      <c r="C100" s="142"/>
      <c r="D100" s="142"/>
      <c r="E100" s="142"/>
    </row>
    <row r="101" spans="1:7" ht="36" customHeight="1">
      <c r="A101" s="137" t="s">
        <v>57</v>
      </c>
      <c r="B101" s="137"/>
      <c r="C101" s="137"/>
      <c r="D101" s="137"/>
      <c r="E101" s="137"/>
    </row>
  </sheetData>
  <sheetProtection algorithmName="SHA-512" hashValue="/9XFFffH4mb1vDc9PGNfTpoZCFpyjxrph1W9/dq5RmqI6ylma/XPkx1PLvv9Q1quxwOzOhMWpWLbgfoAKBj2Bg==" saltValue="E8QTMUZTyf7H/BscvrfoOg==" spinCount="100000" sheet="1" objects="1" scenarios="1"/>
  <mergeCells count="10">
    <mergeCell ref="A101:E101"/>
    <mergeCell ref="A2:E2"/>
    <mergeCell ref="A14:E14"/>
    <mergeCell ref="A20:E20"/>
    <mergeCell ref="A32:E32"/>
    <mergeCell ref="A100:E100"/>
    <mergeCell ref="A3:E3"/>
    <mergeCell ref="A19:E19"/>
    <mergeCell ref="A31:E31"/>
    <mergeCell ref="A41:E41"/>
  </mergeCells>
  <dataValidations disablePrompts="1" count="1">
    <dataValidation type="decimal" operator="greaterThanOrEqual" allowBlank="1" showErrorMessage="1" errorTitle="Oops!" error="Please enter a number (no letter or characters)" sqref="C9 C11" xr:uid="{D033D51B-6AF7-4758-9FE5-A8EC2F690787}">
      <formula1>0</formula1>
    </dataValidation>
  </dataValidations>
  <pageMargins left="0.7" right="0.7" top="0.75" bottom="0.75" header="0.3" footer="0.3"/>
  <pageSetup orientation="portrait" r:id="rId1"/>
  <headerFooter>
    <oddFooter>&amp;LResidential Open Space&amp;C&amp;A&amp;RPage &amp;P of &amp;N</oddFooter>
  </headerFooter>
  <rowBreaks count="2" manualBreakCount="2">
    <brk id="31" max="4" man="1"/>
    <brk id="67" max="4" man="1"/>
  </rowBreaks>
  <ignoredErrors>
    <ignoredError sqref="D43:D51 B34:B39" calculatedColumn="1"/>
  </ignoredErrors>
  <drawing r:id="rId2"/>
  <tableParts count="8">
    <tablePart r:id="rId3"/>
    <tablePart r:id="rId4"/>
    <tablePart r:id="rId5"/>
    <tablePart r:id="rId6"/>
    <tablePart r:id="rId7"/>
    <tablePart r:id="rId8"/>
    <tablePart r:id="rId9"/>
    <tablePart r:id="rId10"/>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7F3A7-9C44-4B40-967B-80159A54C447}">
  <sheetPr codeName="Sheet4">
    <tabColor theme="9" tint="-0.499984740745262"/>
  </sheetPr>
  <dimension ref="A1:Z111"/>
  <sheetViews>
    <sheetView showGridLines="0" zoomScaleNormal="100" zoomScaleSheetLayoutView="100" workbookViewId="0">
      <selection activeCell="G24" sqref="G24"/>
    </sheetView>
  </sheetViews>
  <sheetFormatPr defaultRowHeight="15"/>
  <cols>
    <col min="1" max="1" width="6.7109375" style="8" customWidth="1"/>
    <col min="2" max="17" width="5.28515625" customWidth="1"/>
    <col min="27" max="27" width="3.7109375" customWidth="1"/>
    <col min="28" max="28" width="9.140625" customWidth="1"/>
  </cols>
  <sheetData>
    <row r="1" spans="1:26" ht="38.25" customHeight="1" thickBot="1">
      <c r="A1" s="60" t="s">
        <v>104</v>
      </c>
      <c r="B1" s="60"/>
      <c r="C1" s="60"/>
      <c r="D1" s="60"/>
      <c r="E1" s="60"/>
      <c r="F1" s="60"/>
      <c r="G1" s="60"/>
      <c r="H1" s="60"/>
      <c r="I1" s="60"/>
      <c r="J1" s="60"/>
      <c r="K1" s="60"/>
      <c r="L1" s="60"/>
      <c r="M1" s="60"/>
      <c r="N1" s="60"/>
      <c r="O1" s="60"/>
      <c r="P1" s="60"/>
      <c r="Q1" s="60"/>
    </row>
    <row r="2" spans="1:26" ht="54" customHeight="1">
      <c r="A2" s="147" t="s">
        <v>160</v>
      </c>
      <c r="B2" s="147"/>
      <c r="C2" s="147"/>
      <c r="D2" s="147"/>
      <c r="E2" s="147"/>
      <c r="F2" s="147"/>
      <c r="G2" s="147"/>
      <c r="H2" s="147"/>
      <c r="I2" s="147"/>
      <c r="J2" s="147"/>
      <c r="K2" s="147"/>
      <c r="L2" s="147"/>
      <c r="M2" s="147"/>
      <c r="N2" s="147"/>
      <c r="O2" s="147"/>
      <c r="P2" s="147"/>
      <c r="Q2" s="147"/>
    </row>
    <row r="3" spans="1:26" ht="19.5" customHeight="1">
      <c r="A3" s="147" t="s">
        <v>187</v>
      </c>
      <c r="B3" s="147"/>
      <c r="C3" s="147"/>
      <c r="D3" s="147"/>
      <c r="E3" s="147"/>
      <c r="F3" s="147"/>
      <c r="G3" s="147"/>
      <c r="H3" s="147"/>
      <c r="I3" s="147"/>
      <c r="J3" s="147"/>
      <c r="K3" s="147"/>
      <c r="L3" s="147"/>
      <c r="M3" s="147"/>
      <c r="N3" s="147"/>
      <c r="O3" s="147"/>
      <c r="P3" s="147"/>
      <c r="Q3" s="147"/>
    </row>
    <row r="4" spans="1:26" ht="19.5" customHeight="1">
      <c r="A4" s="53"/>
      <c r="B4" s="148" t="s">
        <v>176</v>
      </c>
      <c r="C4" s="148"/>
      <c r="D4" s="148"/>
      <c r="E4" s="148"/>
      <c r="F4" s="149"/>
      <c r="G4" s="54">
        <f>AVERAGE(B63:Q82)</f>
        <v>490.13192306547387</v>
      </c>
      <c r="H4" s="53"/>
      <c r="I4" s="53"/>
      <c r="J4" s="53"/>
      <c r="K4" s="53"/>
      <c r="L4" s="53"/>
      <c r="M4" s="53"/>
      <c r="N4" s="53"/>
      <c r="O4" s="53"/>
      <c r="P4" s="53"/>
      <c r="Q4" s="53"/>
    </row>
    <row r="5" spans="1:26" ht="19.5" customHeight="1">
      <c r="A5" s="53"/>
      <c r="B5" s="148" t="s">
        <v>188</v>
      </c>
      <c r="C5" s="148"/>
      <c r="D5" s="148"/>
      <c r="E5" s="148"/>
      <c r="F5" s="149"/>
      <c r="G5" s="54">
        <f>MIN(B63:Q82)</f>
        <v>360.04631578947368</v>
      </c>
      <c r="H5" s="53"/>
      <c r="I5" s="53"/>
      <c r="J5" s="53"/>
      <c r="K5" s="53"/>
      <c r="L5" s="53"/>
      <c r="M5" s="53"/>
      <c r="N5" s="53"/>
      <c r="O5" s="53"/>
      <c r="P5" s="53"/>
      <c r="Q5" s="53"/>
    </row>
    <row r="6" spans="1:26" ht="19.5" customHeight="1">
      <c r="A6" s="53"/>
      <c r="B6" s="148" t="s">
        <v>189</v>
      </c>
      <c r="C6" s="148"/>
      <c r="D6" s="148"/>
      <c r="E6" s="148"/>
      <c r="F6" s="149"/>
      <c r="G6" s="54">
        <f>MAX(B63:Q82)</f>
        <v>772.72</v>
      </c>
      <c r="H6" s="53"/>
      <c r="I6" s="53"/>
      <c r="J6" s="53"/>
      <c r="K6" s="53"/>
      <c r="L6" s="53"/>
      <c r="M6" s="53"/>
      <c r="N6" s="53"/>
      <c r="O6" s="53"/>
      <c r="P6" s="53"/>
      <c r="Q6" s="53"/>
    </row>
    <row r="7" spans="1:26" ht="56.25" customHeight="1">
      <c r="A7" s="147" t="s">
        <v>194</v>
      </c>
      <c r="B7" s="147"/>
      <c r="C7" s="147"/>
      <c r="D7" s="147"/>
      <c r="E7" s="147"/>
      <c r="F7" s="147"/>
      <c r="G7" s="147"/>
      <c r="H7" s="147"/>
      <c r="I7" s="147"/>
      <c r="J7" s="147"/>
      <c r="K7" s="147"/>
      <c r="L7" s="147"/>
      <c r="M7" s="147"/>
      <c r="N7" s="147"/>
      <c r="O7" s="147"/>
      <c r="P7" s="147"/>
      <c r="Q7" s="147"/>
    </row>
    <row r="8" spans="1:26" ht="19.5" customHeight="1">
      <c r="A8" s="144" t="s">
        <v>37</v>
      </c>
      <c r="B8" s="144"/>
      <c r="C8" s="144"/>
      <c r="D8" s="144"/>
      <c r="E8" s="144"/>
      <c r="F8" s="144"/>
      <c r="G8" s="144"/>
      <c r="H8" s="144"/>
      <c r="I8" s="144"/>
      <c r="J8" s="144"/>
      <c r="K8" s="144"/>
      <c r="L8" s="144"/>
      <c r="M8" s="144"/>
      <c r="N8" s="144"/>
      <c r="O8" s="144"/>
      <c r="P8" s="144"/>
      <c r="Q8" s="144"/>
    </row>
    <row r="9" spans="1:26" ht="67.5" customHeight="1">
      <c r="A9" s="146" t="s">
        <v>105</v>
      </c>
      <c r="B9" s="146"/>
      <c r="C9" s="146"/>
      <c r="D9" s="146"/>
      <c r="E9" s="146"/>
      <c r="F9" s="146"/>
      <c r="G9" s="146"/>
      <c r="H9" s="146"/>
      <c r="I9" s="146"/>
      <c r="J9" s="146"/>
      <c r="K9" s="146"/>
      <c r="L9" s="146"/>
      <c r="M9" s="146"/>
      <c r="N9" s="146"/>
      <c r="O9" s="146"/>
      <c r="P9" s="146"/>
      <c r="Q9" s="146"/>
    </row>
    <row r="10" spans="1:26">
      <c r="A10" s="145" t="s">
        <v>35</v>
      </c>
      <c r="B10" s="145"/>
      <c r="C10" s="145"/>
      <c r="D10" s="145"/>
      <c r="E10" s="145"/>
      <c r="F10" s="145"/>
      <c r="G10" s="145"/>
      <c r="H10" s="145"/>
      <c r="I10" s="145"/>
      <c r="J10" s="145"/>
      <c r="K10" s="145"/>
      <c r="L10" s="145"/>
      <c r="M10" s="145"/>
      <c r="N10" s="145"/>
      <c r="O10" s="145"/>
      <c r="P10" s="145"/>
      <c r="Q10" s="145"/>
    </row>
    <row r="11" spans="1:26" s="52" customFormat="1" ht="16.5" customHeight="1">
      <c r="A11" s="52" t="s">
        <v>1</v>
      </c>
      <c r="B11" s="57" t="s">
        <v>19</v>
      </c>
      <c r="C11" s="57" t="s">
        <v>20</v>
      </c>
      <c r="D11" s="57" t="s">
        <v>21</v>
      </c>
      <c r="E11" s="57" t="s">
        <v>22</v>
      </c>
      <c r="F11" s="57" t="s">
        <v>23</v>
      </c>
      <c r="G11" s="57" t="s">
        <v>24</v>
      </c>
      <c r="H11" s="57" t="s">
        <v>25</v>
      </c>
      <c r="I11" s="57" t="s">
        <v>26</v>
      </c>
      <c r="J11" s="57" t="s">
        <v>27</v>
      </c>
      <c r="K11" s="57" t="s">
        <v>28</v>
      </c>
      <c r="L11" s="57" t="s">
        <v>29</v>
      </c>
      <c r="M11" s="57" t="s">
        <v>30</v>
      </c>
      <c r="N11" s="57" t="s">
        <v>31</v>
      </c>
      <c r="O11" s="57" t="s">
        <v>32</v>
      </c>
      <c r="P11" s="57" t="s">
        <v>33</v>
      </c>
      <c r="Q11" s="57" t="s">
        <v>34</v>
      </c>
      <c r="R11" s="58"/>
      <c r="S11" s="58"/>
      <c r="T11" s="58"/>
      <c r="U11" s="58"/>
      <c r="V11" s="58"/>
      <c r="W11" s="58"/>
      <c r="X11" s="58"/>
      <c r="Y11" s="58"/>
      <c r="Z11" s="58"/>
    </row>
    <row r="12" spans="1:26" ht="13.5" customHeight="1">
      <c r="A12" s="2">
        <v>25</v>
      </c>
      <c r="B12" s="44" t="str">
        <f t="shared" ref="B12:Q21" si="0">IF(OR($A12/B$11&gt;=max_density,$A12/B$11&lt;=min_density),"",$A12/B$11)</f>
        <v/>
      </c>
      <c r="C12" s="44" t="str">
        <f t="shared" si="0"/>
        <v/>
      </c>
      <c r="D12" s="44" t="str">
        <f t="shared" si="0"/>
        <v/>
      </c>
      <c r="E12" s="44" t="str">
        <f t="shared" si="0"/>
        <v/>
      </c>
      <c r="F12" s="44" t="str">
        <f t="shared" si="0"/>
        <v/>
      </c>
      <c r="G12" s="44" t="str">
        <f t="shared" si="0"/>
        <v/>
      </c>
      <c r="H12" s="44" t="str">
        <f t="shared" si="0"/>
        <v/>
      </c>
      <c r="I12" s="44" t="str">
        <f t="shared" si="0"/>
        <v/>
      </c>
      <c r="J12" s="44" t="str">
        <f t="shared" si="0"/>
        <v/>
      </c>
      <c r="K12" s="44" t="str">
        <f t="shared" si="0"/>
        <v/>
      </c>
      <c r="L12" s="44" t="str">
        <f t="shared" si="0"/>
        <v/>
      </c>
      <c r="M12" s="44" t="str">
        <f t="shared" si="0"/>
        <v/>
      </c>
      <c r="N12" s="44" t="str">
        <f t="shared" si="0"/>
        <v/>
      </c>
      <c r="O12" s="44" t="str">
        <f t="shared" si="0"/>
        <v/>
      </c>
      <c r="P12" s="44" t="str">
        <f t="shared" si="0"/>
        <v/>
      </c>
      <c r="Q12" s="44" t="str">
        <f t="shared" si="0"/>
        <v/>
      </c>
    </row>
    <row r="13" spans="1:26" ht="13.5" customHeight="1">
      <c r="A13" s="2">
        <v>50</v>
      </c>
      <c r="B13" s="44">
        <f t="shared" si="0"/>
        <v>10</v>
      </c>
      <c r="C13" s="44">
        <f t="shared" si="0"/>
        <v>8.3333333333333339</v>
      </c>
      <c r="D13" s="44" t="str">
        <f t="shared" si="0"/>
        <v/>
      </c>
      <c r="E13" s="44" t="str">
        <f t="shared" si="0"/>
        <v/>
      </c>
      <c r="F13" s="44" t="str">
        <f t="shared" si="0"/>
        <v/>
      </c>
      <c r="G13" s="44" t="str">
        <f t="shared" si="0"/>
        <v/>
      </c>
      <c r="H13" s="44" t="str">
        <f t="shared" si="0"/>
        <v/>
      </c>
      <c r="I13" s="44" t="str">
        <f t="shared" si="0"/>
        <v/>
      </c>
      <c r="J13" s="44" t="str">
        <f t="shared" si="0"/>
        <v/>
      </c>
      <c r="K13" s="44" t="str">
        <f t="shared" si="0"/>
        <v/>
      </c>
      <c r="L13" s="44" t="str">
        <f t="shared" si="0"/>
        <v/>
      </c>
      <c r="M13" s="44" t="str">
        <f t="shared" si="0"/>
        <v/>
      </c>
      <c r="N13" s="44" t="str">
        <f t="shared" si="0"/>
        <v/>
      </c>
      <c r="O13" s="44" t="str">
        <f t="shared" si="0"/>
        <v/>
      </c>
      <c r="P13" s="44" t="str">
        <f t="shared" si="0"/>
        <v/>
      </c>
      <c r="Q13" s="44" t="str">
        <f t="shared" si="0"/>
        <v/>
      </c>
    </row>
    <row r="14" spans="1:26" ht="13.5" customHeight="1">
      <c r="A14" s="2">
        <v>75</v>
      </c>
      <c r="B14" s="44">
        <f t="shared" si="0"/>
        <v>15</v>
      </c>
      <c r="C14" s="44">
        <f t="shared" si="0"/>
        <v>12.5</v>
      </c>
      <c r="D14" s="44">
        <f t="shared" si="0"/>
        <v>10.714285714285714</v>
      </c>
      <c r="E14" s="44">
        <f t="shared" si="0"/>
        <v>9.375</v>
      </c>
      <c r="F14" s="44">
        <f t="shared" si="0"/>
        <v>8.3333333333333339</v>
      </c>
      <c r="G14" s="44" t="str">
        <f t="shared" si="0"/>
        <v/>
      </c>
      <c r="H14" s="44" t="str">
        <f t="shared" si="0"/>
        <v/>
      </c>
      <c r="I14" s="44" t="str">
        <f t="shared" si="0"/>
        <v/>
      </c>
      <c r="J14" s="44" t="str">
        <f t="shared" si="0"/>
        <v/>
      </c>
      <c r="K14" s="44" t="str">
        <f t="shared" si="0"/>
        <v/>
      </c>
      <c r="L14" s="44" t="str">
        <f t="shared" si="0"/>
        <v/>
      </c>
      <c r="M14" s="44" t="str">
        <f t="shared" si="0"/>
        <v/>
      </c>
      <c r="N14" s="44" t="str">
        <f t="shared" si="0"/>
        <v/>
      </c>
      <c r="O14" s="44" t="str">
        <f t="shared" si="0"/>
        <v/>
      </c>
      <c r="P14" s="44" t="str">
        <f t="shared" si="0"/>
        <v/>
      </c>
      <c r="Q14" s="44" t="str">
        <f t="shared" si="0"/>
        <v/>
      </c>
    </row>
    <row r="15" spans="1:26" ht="13.5" customHeight="1">
      <c r="A15" s="2">
        <v>100</v>
      </c>
      <c r="B15" s="44">
        <f t="shared" si="0"/>
        <v>20</v>
      </c>
      <c r="C15" s="44">
        <f t="shared" si="0"/>
        <v>16.666666666666668</v>
      </c>
      <c r="D15" s="44">
        <f t="shared" si="0"/>
        <v>14.285714285714286</v>
      </c>
      <c r="E15" s="44">
        <f t="shared" si="0"/>
        <v>12.5</v>
      </c>
      <c r="F15" s="44">
        <f t="shared" si="0"/>
        <v>11.111111111111111</v>
      </c>
      <c r="G15" s="44">
        <f t="shared" si="0"/>
        <v>10</v>
      </c>
      <c r="H15" s="44">
        <f t="shared" si="0"/>
        <v>9.0909090909090917</v>
      </c>
      <c r="I15" s="44">
        <f t="shared" si="0"/>
        <v>8.3333333333333339</v>
      </c>
      <c r="J15" s="44" t="str">
        <f t="shared" si="0"/>
        <v/>
      </c>
      <c r="K15" s="44" t="str">
        <f t="shared" si="0"/>
        <v/>
      </c>
      <c r="L15" s="44" t="str">
        <f t="shared" si="0"/>
        <v/>
      </c>
      <c r="M15" s="44" t="str">
        <f t="shared" si="0"/>
        <v/>
      </c>
      <c r="N15" s="44" t="str">
        <f t="shared" si="0"/>
        <v/>
      </c>
      <c r="O15" s="44" t="str">
        <f t="shared" si="0"/>
        <v/>
      </c>
      <c r="P15" s="44" t="str">
        <f t="shared" si="0"/>
        <v/>
      </c>
      <c r="Q15" s="44" t="str">
        <f t="shared" si="0"/>
        <v/>
      </c>
    </row>
    <row r="16" spans="1:26" ht="13.5" customHeight="1">
      <c r="A16" s="2">
        <v>125</v>
      </c>
      <c r="B16" s="44">
        <f t="shared" si="0"/>
        <v>25</v>
      </c>
      <c r="C16" s="44">
        <f t="shared" si="0"/>
        <v>20.833333333333332</v>
      </c>
      <c r="D16" s="44">
        <f t="shared" si="0"/>
        <v>17.857142857142858</v>
      </c>
      <c r="E16" s="44">
        <f t="shared" si="0"/>
        <v>15.625</v>
      </c>
      <c r="F16" s="44">
        <f t="shared" si="0"/>
        <v>13.888888888888889</v>
      </c>
      <c r="G16" s="44">
        <f t="shared" si="0"/>
        <v>12.5</v>
      </c>
      <c r="H16" s="44">
        <f t="shared" si="0"/>
        <v>11.363636363636363</v>
      </c>
      <c r="I16" s="44">
        <f t="shared" si="0"/>
        <v>10.416666666666666</v>
      </c>
      <c r="J16" s="44">
        <f t="shared" si="0"/>
        <v>9.615384615384615</v>
      </c>
      <c r="K16" s="44">
        <f t="shared" si="0"/>
        <v>8.9285714285714288</v>
      </c>
      <c r="L16" s="44">
        <f t="shared" si="0"/>
        <v>8.3333333333333339</v>
      </c>
      <c r="M16" s="44" t="str">
        <f t="shared" si="0"/>
        <v/>
      </c>
      <c r="N16" s="44" t="str">
        <f t="shared" si="0"/>
        <v/>
      </c>
      <c r="O16" s="44" t="str">
        <f t="shared" si="0"/>
        <v/>
      </c>
      <c r="P16" s="44" t="str">
        <f t="shared" si="0"/>
        <v/>
      </c>
      <c r="Q16" s="44" t="str">
        <f t="shared" si="0"/>
        <v/>
      </c>
    </row>
    <row r="17" spans="1:18" ht="13.5" customHeight="1">
      <c r="A17" s="2">
        <v>150</v>
      </c>
      <c r="B17" s="44">
        <f t="shared" si="0"/>
        <v>30</v>
      </c>
      <c r="C17" s="44">
        <f t="shared" si="0"/>
        <v>25</v>
      </c>
      <c r="D17" s="44">
        <f t="shared" si="0"/>
        <v>21.428571428571427</v>
      </c>
      <c r="E17" s="44">
        <f t="shared" si="0"/>
        <v>18.75</v>
      </c>
      <c r="F17" s="44">
        <f t="shared" si="0"/>
        <v>16.666666666666668</v>
      </c>
      <c r="G17" s="44">
        <f t="shared" si="0"/>
        <v>15</v>
      </c>
      <c r="H17" s="44">
        <f t="shared" si="0"/>
        <v>13.636363636363637</v>
      </c>
      <c r="I17" s="44">
        <f t="shared" si="0"/>
        <v>12.5</v>
      </c>
      <c r="J17" s="44">
        <f t="shared" si="0"/>
        <v>11.538461538461538</v>
      </c>
      <c r="K17" s="44">
        <f t="shared" si="0"/>
        <v>10.714285714285714</v>
      </c>
      <c r="L17" s="44">
        <f t="shared" si="0"/>
        <v>10</v>
      </c>
      <c r="M17" s="44">
        <f t="shared" si="0"/>
        <v>9.375</v>
      </c>
      <c r="N17" s="44">
        <f t="shared" si="0"/>
        <v>8.8235294117647065</v>
      </c>
      <c r="O17" s="44">
        <f t="shared" si="0"/>
        <v>8.3333333333333339</v>
      </c>
      <c r="P17" s="44" t="str">
        <f t="shared" si="0"/>
        <v/>
      </c>
      <c r="Q17" s="44" t="str">
        <f t="shared" si="0"/>
        <v/>
      </c>
    </row>
    <row r="18" spans="1:18" ht="13.5" customHeight="1">
      <c r="A18" s="2">
        <v>175</v>
      </c>
      <c r="B18" s="44">
        <f t="shared" si="0"/>
        <v>35</v>
      </c>
      <c r="C18" s="44">
        <f t="shared" si="0"/>
        <v>29.166666666666668</v>
      </c>
      <c r="D18" s="44">
        <f t="shared" si="0"/>
        <v>25</v>
      </c>
      <c r="E18" s="44">
        <f t="shared" si="0"/>
        <v>21.875</v>
      </c>
      <c r="F18" s="44">
        <f t="shared" si="0"/>
        <v>19.444444444444443</v>
      </c>
      <c r="G18" s="44">
        <f t="shared" si="0"/>
        <v>17.5</v>
      </c>
      <c r="H18" s="44">
        <f t="shared" si="0"/>
        <v>15.909090909090908</v>
      </c>
      <c r="I18" s="44">
        <f t="shared" si="0"/>
        <v>14.583333333333334</v>
      </c>
      <c r="J18" s="44">
        <f t="shared" si="0"/>
        <v>13.461538461538462</v>
      </c>
      <c r="K18" s="44">
        <f t="shared" si="0"/>
        <v>12.5</v>
      </c>
      <c r="L18" s="44">
        <f t="shared" si="0"/>
        <v>11.666666666666666</v>
      </c>
      <c r="M18" s="44">
        <f t="shared" si="0"/>
        <v>10.9375</v>
      </c>
      <c r="N18" s="44">
        <f t="shared" si="0"/>
        <v>10.294117647058824</v>
      </c>
      <c r="O18" s="44">
        <f t="shared" si="0"/>
        <v>9.7222222222222214</v>
      </c>
      <c r="P18" s="44">
        <f t="shared" si="0"/>
        <v>9.2105263157894743</v>
      </c>
      <c r="Q18" s="44">
        <f t="shared" si="0"/>
        <v>8.75</v>
      </c>
    </row>
    <row r="19" spans="1:18" ht="13.5" customHeight="1">
      <c r="A19" s="2">
        <v>200</v>
      </c>
      <c r="B19" s="44" t="str">
        <f t="shared" si="0"/>
        <v/>
      </c>
      <c r="C19" s="44">
        <f t="shared" si="0"/>
        <v>33.333333333333336</v>
      </c>
      <c r="D19" s="44">
        <f t="shared" si="0"/>
        <v>28.571428571428573</v>
      </c>
      <c r="E19" s="44">
        <f t="shared" si="0"/>
        <v>25</v>
      </c>
      <c r="F19" s="44">
        <f t="shared" si="0"/>
        <v>22.222222222222221</v>
      </c>
      <c r="G19" s="44">
        <f t="shared" si="0"/>
        <v>20</v>
      </c>
      <c r="H19" s="44">
        <f t="shared" si="0"/>
        <v>18.181818181818183</v>
      </c>
      <c r="I19" s="44">
        <f t="shared" si="0"/>
        <v>16.666666666666668</v>
      </c>
      <c r="J19" s="44">
        <f t="shared" si="0"/>
        <v>15.384615384615385</v>
      </c>
      <c r="K19" s="44">
        <f t="shared" si="0"/>
        <v>14.285714285714286</v>
      </c>
      <c r="L19" s="44">
        <f t="shared" si="0"/>
        <v>13.333333333333334</v>
      </c>
      <c r="M19" s="44">
        <f t="shared" si="0"/>
        <v>12.5</v>
      </c>
      <c r="N19" s="44">
        <f t="shared" si="0"/>
        <v>11.764705882352942</v>
      </c>
      <c r="O19" s="44">
        <f t="shared" si="0"/>
        <v>11.111111111111111</v>
      </c>
      <c r="P19" s="44">
        <f t="shared" si="0"/>
        <v>10.526315789473685</v>
      </c>
      <c r="Q19" s="44">
        <f t="shared" si="0"/>
        <v>10</v>
      </c>
    </row>
    <row r="20" spans="1:18" ht="13.5" customHeight="1">
      <c r="A20" s="2">
        <v>225</v>
      </c>
      <c r="B20" s="44" t="str">
        <f t="shared" si="0"/>
        <v/>
      </c>
      <c r="C20" s="44">
        <f t="shared" si="0"/>
        <v>37.5</v>
      </c>
      <c r="D20" s="44">
        <f t="shared" si="0"/>
        <v>32.142857142857146</v>
      </c>
      <c r="E20" s="44">
        <f t="shared" si="0"/>
        <v>28.125</v>
      </c>
      <c r="F20" s="44">
        <f t="shared" si="0"/>
        <v>25</v>
      </c>
      <c r="G20" s="44">
        <f t="shared" si="0"/>
        <v>22.5</v>
      </c>
      <c r="H20" s="44">
        <f t="shared" si="0"/>
        <v>20.454545454545453</v>
      </c>
      <c r="I20" s="44">
        <f t="shared" si="0"/>
        <v>18.75</v>
      </c>
      <c r="J20" s="44">
        <f t="shared" si="0"/>
        <v>17.307692307692307</v>
      </c>
      <c r="K20" s="44">
        <f t="shared" si="0"/>
        <v>16.071428571428573</v>
      </c>
      <c r="L20" s="44">
        <f t="shared" si="0"/>
        <v>15</v>
      </c>
      <c r="M20" s="44">
        <f t="shared" si="0"/>
        <v>14.0625</v>
      </c>
      <c r="N20" s="44">
        <f t="shared" si="0"/>
        <v>13.235294117647058</v>
      </c>
      <c r="O20" s="44">
        <f t="shared" si="0"/>
        <v>12.5</v>
      </c>
      <c r="P20" s="44">
        <f t="shared" si="0"/>
        <v>11.842105263157896</v>
      </c>
      <c r="Q20" s="44">
        <f t="shared" si="0"/>
        <v>11.25</v>
      </c>
      <c r="R20" s="5"/>
    </row>
    <row r="21" spans="1:18" ht="13.5" customHeight="1">
      <c r="A21" s="2">
        <v>250</v>
      </c>
      <c r="B21" s="44" t="str">
        <f t="shared" si="0"/>
        <v/>
      </c>
      <c r="C21" s="44" t="str">
        <f t="shared" si="0"/>
        <v/>
      </c>
      <c r="D21" s="44">
        <f t="shared" si="0"/>
        <v>35.714285714285715</v>
      </c>
      <c r="E21" s="44">
        <f t="shared" si="0"/>
        <v>31.25</v>
      </c>
      <c r="F21" s="44">
        <f t="shared" si="0"/>
        <v>27.777777777777779</v>
      </c>
      <c r="G21" s="44">
        <f t="shared" si="0"/>
        <v>25</v>
      </c>
      <c r="H21" s="44">
        <f t="shared" si="0"/>
        <v>22.727272727272727</v>
      </c>
      <c r="I21" s="44">
        <f t="shared" si="0"/>
        <v>20.833333333333332</v>
      </c>
      <c r="J21" s="44">
        <f t="shared" si="0"/>
        <v>19.23076923076923</v>
      </c>
      <c r="K21" s="44">
        <f t="shared" si="0"/>
        <v>17.857142857142858</v>
      </c>
      <c r="L21" s="44">
        <f t="shared" si="0"/>
        <v>16.666666666666668</v>
      </c>
      <c r="M21" s="44">
        <f t="shared" si="0"/>
        <v>15.625</v>
      </c>
      <c r="N21" s="44">
        <f t="shared" si="0"/>
        <v>14.705882352941176</v>
      </c>
      <c r="O21" s="44">
        <f t="shared" si="0"/>
        <v>13.888888888888889</v>
      </c>
      <c r="P21" s="44">
        <f t="shared" si="0"/>
        <v>13.157894736842104</v>
      </c>
      <c r="Q21" s="44">
        <f t="shared" si="0"/>
        <v>12.5</v>
      </c>
    </row>
    <row r="22" spans="1:18" ht="13.5" customHeight="1">
      <c r="A22" s="2">
        <v>275</v>
      </c>
      <c r="B22" s="44" t="str">
        <f t="shared" ref="B22:Q31" si="1">IF(OR($A22/B$11&gt;=max_density,$A22/B$11&lt;=min_density),"",$A22/B$11)</f>
        <v/>
      </c>
      <c r="C22" s="44" t="str">
        <f t="shared" si="1"/>
        <v/>
      </c>
      <c r="D22" s="44">
        <f t="shared" si="1"/>
        <v>39.285714285714285</v>
      </c>
      <c r="E22" s="44">
        <f t="shared" si="1"/>
        <v>34.375</v>
      </c>
      <c r="F22" s="44">
        <f t="shared" si="1"/>
        <v>30.555555555555557</v>
      </c>
      <c r="G22" s="44">
        <f t="shared" si="1"/>
        <v>27.5</v>
      </c>
      <c r="H22" s="44">
        <f t="shared" si="1"/>
        <v>25</v>
      </c>
      <c r="I22" s="44">
        <f t="shared" si="1"/>
        <v>22.916666666666668</v>
      </c>
      <c r="J22" s="44">
        <f t="shared" si="1"/>
        <v>21.153846153846153</v>
      </c>
      <c r="K22" s="44">
        <f t="shared" si="1"/>
        <v>19.642857142857142</v>
      </c>
      <c r="L22" s="44">
        <f t="shared" si="1"/>
        <v>18.333333333333332</v>
      </c>
      <c r="M22" s="44">
        <f t="shared" si="1"/>
        <v>17.1875</v>
      </c>
      <c r="N22" s="44">
        <f t="shared" si="1"/>
        <v>16.176470588235293</v>
      </c>
      <c r="O22" s="44">
        <f t="shared" si="1"/>
        <v>15.277777777777779</v>
      </c>
      <c r="P22" s="44">
        <f t="shared" si="1"/>
        <v>14.473684210526315</v>
      </c>
      <c r="Q22" s="44">
        <f t="shared" si="1"/>
        <v>13.75</v>
      </c>
    </row>
    <row r="23" spans="1:18" ht="13.5" customHeight="1">
      <c r="A23" s="2">
        <v>300</v>
      </c>
      <c r="B23" s="44" t="str">
        <f t="shared" si="1"/>
        <v/>
      </c>
      <c r="C23" s="44" t="str">
        <f t="shared" si="1"/>
        <v/>
      </c>
      <c r="D23" s="44" t="str">
        <f t="shared" si="1"/>
        <v/>
      </c>
      <c r="E23" s="44">
        <f t="shared" si="1"/>
        <v>37.5</v>
      </c>
      <c r="F23" s="44">
        <f t="shared" si="1"/>
        <v>33.333333333333336</v>
      </c>
      <c r="G23" s="44">
        <f t="shared" si="1"/>
        <v>30</v>
      </c>
      <c r="H23" s="44">
        <f t="shared" si="1"/>
        <v>27.272727272727273</v>
      </c>
      <c r="I23" s="44">
        <f t="shared" si="1"/>
        <v>25</v>
      </c>
      <c r="J23" s="44">
        <f t="shared" si="1"/>
        <v>23.076923076923077</v>
      </c>
      <c r="K23" s="44">
        <f t="shared" si="1"/>
        <v>21.428571428571427</v>
      </c>
      <c r="L23" s="44">
        <f t="shared" si="1"/>
        <v>20</v>
      </c>
      <c r="M23" s="44">
        <f t="shared" si="1"/>
        <v>18.75</v>
      </c>
      <c r="N23" s="44">
        <f t="shared" si="1"/>
        <v>17.647058823529413</v>
      </c>
      <c r="O23" s="44">
        <f t="shared" si="1"/>
        <v>16.666666666666668</v>
      </c>
      <c r="P23" s="44">
        <f t="shared" si="1"/>
        <v>15.789473684210526</v>
      </c>
      <c r="Q23" s="44">
        <f t="shared" si="1"/>
        <v>15</v>
      </c>
    </row>
    <row r="24" spans="1:18" ht="13.5" customHeight="1">
      <c r="A24" s="2">
        <v>325</v>
      </c>
      <c r="B24" s="44" t="str">
        <f t="shared" si="1"/>
        <v/>
      </c>
      <c r="C24" s="44" t="str">
        <f t="shared" si="1"/>
        <v/>
      </c>
      <c r="D24" s="44" t="str">
        <f t="shared" si="1"/>
        <v/>
      </c>
      <c r="E24" s="44" t="str">
        <f t="shared" si="1"/>
        <v/>
      </c>
      <c r="F24" s="44">
        <f t="shared" si="1"/>
        <v>36.111111111111114</v>
      </c>
      <c r="G24" s="44">
        <f t="shared" si="1"/>
        <v>32.5</v>
      </c>
      <c r="H24" s="44">
        <f t="shared" si="1"/>
        <v>29.545454545454547</v>
      </c>
      <c r="I24" s="44">
        <f t="shared" si="1"/>
        <v>27.083333333333332</v>
      </c>
      <c r="J24" s="44">
        <f t="shared" si="1"/>
        <v>25</v>
      </c>
      <c r="K24" s="44">
        <f t="shared" si="1"/>
        <v>23.214285714285715</v>
      </c>
      <c r="L24" s="44">
        <f t="shared" si="1"/>
        <v>21.666666666666668</v>
      </c>
      <c r="M24" s="44">
        <f t="shared" si="1"/>
        <v>20.3125</v>
      </c>
      <c r="N24" s="44">
        <f t="shared" si="1"/>
        <v>19.117647058823529</v>
      </c>
      <c r="O24" s="44">
        <f t="shared" si="1"/>
        <v>18.055555555555557</v>
      </c>
      <c r="P24" s="44">
        <f t="shared" si="1"/>
        <v>17.105263157894736</v>
      </c>
      <c r="Q24" s="44">
        <f t="shared" si="1"/>
        <v>16.25</v>
      </c>
      <c r="R24" s="16"/>
    </row>
    <row r="25" spans="1:18" ht="13.5" customHeight="1">
      <c r="A25" s="2">
        <v>350</v>
      </c>
      <c r="B25" s="44" t="str">
        <f t="shared" si="1"/>
        <v/>
      </c>
      <c r="C25" s="44" t="str">
        <f t="shared" si="1"/>
        <v/>
      </c>
      <c r="D25" s="44" t="str">
        <f t="shared" si="1"/>
        <v/>
      </c>
      <c r="E25" s="44" t="str">
        <f t="shared" si="1"/>
        <v/>
      </c>
      <c r="F25" s="44">
        <f t="shared" si="1"/>
        <v>38.888888888888886</v>
      </c>
      <c r="G25" s="44">
        <f t="shared" si="1"/>
        <v>35</v>
      </c>
      <c r="H25" s="44">
        <f t="shared" si="1"/>
        <v>31.818181818181817</v>
      </c>
      <c r="I25" s="44">
        <f t="shared" si="1"/>
        <v>29.166666666666668</v>
      </c>
      <c r="J25" s="44">
        <f t="shared" si="1"/>
        <v>26.923076923076923</v>
      </c>
      <c r="K25" s="44">
        <f t="shared" si="1"/>
        <v>25</v>
      </c>
      <c r="L25" s="44">
        <f t="shared" si="1"/>
        <v>23.333333333333332</v>
      </c>
      <c r="M25" s="44">
        <f t="shared" si="1"/>
        <v>21.875</v>
      </c>
      <c r="N25" s="44">
        <f t="shared" si="1"/>
        <v>20.588235294117649</v>
      </c>
      <c r="O25" s="44">
        <f t="shared" si="1"/>
        <v>19.444444444444443</v>
      </c>
      <c r="P25" s="44">
        <f t="shared" si="1"/>
        <v>18.421052631578949</v>
      </c>
      <c r="Q25" s="44">
        <f t="shared" si="1"/>
        <v>17.5</v>
      </c>
    </row>
    <row r="26" spans="1:18" ht="13.5" customHeight="1">
      <c r="A26" s="2">
        <v>375</v>
      </c>
      <c r="B26" s="44" t="str">
        <f t="shared" si="1"/>
        <v/>
      </c>
      <c r="C26" s="44" t="str">
        <f t="shared" si="1"/>
        <v/>
      </c>
      <c r="D26" s="44" t="str">
        <f t="shared" si="1"/>
        <v/>
      </c>
      <c r="E26" s="44" t="str">
        <f t="shared" si="1"/>
        <v/>
      </c>
      <c r="F26" s="44" t="str">
        <f t="shared" si="1"/>
        <v/>
      </c>
      <c r="G26" s="44">
        <f t="shared" si="1"/>
        <v>37.5</v>
      </c>
      <c r="H26" s="44">
        <f t="shared" si="1"/>
        <v>34.090909090909093</v>
      </c>
      <c r="I26" s="44">
        <f t="shared" si="1"/>
        <v>31.25</v>
      </c>
      <c r="J26" s="44">
        <f t="shared" si="1"/>
        <v>28.846153846153847</v>
      </c>
      <c r="K26" s="44">
        <f t="shared" si="1"/>
        <v>26.785714285714285</v>
      </c>
      <c r="L26" s="44">
        <f t="shared" si="1"/>
        <v>25</v>
      </c>
      <c r="M26" s="44">
        <f t="shared" si="1"/>
        <v>23.4375</v>
      </c>
      <c r="N26" s="44">
        <f t="shared" si="1"/>
        <v>22.058823529411764</v>
      </c>
      <c r="O26" s="44">
        <f t="shared" si="1"/>
        <v>20.833333333333332</v>
      </c>
      <c r="P26" s="44">
        <f t="shared" si="1"/>
        <v>19.736842105263158</v>
      </c>
      <c r="Q26" s="44">
        <f t="shared" si="1"/>
        <v>18.75</v>
      </c>
    </row>
    <row r="27" spans="1:18" ht="13.5" customHeight="1">
      <c r="A27" s="2">
        <v>400</v>
      </c>
      <c r="B27" s="44" t="str">
        <f t="shared" si="1"/>
        <v/>
      </c>
      <c r="C27" s="44" t="str">
        <f t="shared" si="1"/>
        <v/>
      </c>
      <c r="D27" s="44" t="str">
        <f t="shared" si="1"/>
        <v/>
      </c>
      <c r="E27" s="44" t="str">
        <f t="shared" si="1"/>
        <v/>
      </c>
      <c r="F27" s="44" t="str">
        <f t="shared" si="1"/>
        <v/>
      </c>
      <c r="G27" s="44" t="str">
        <f t="shared" si="1"/>
        <v/>
      </c>
      <c r="H27" s="44">
        <f t="shared" si="1"/>
        <v>36.363636363636367</v>
      </c>
      <c r="I27" s="44">
        <f t="shared" si="1"/>
        <v>33.333333333333336</v>
      </c>
      <c r="J27" s="44">
        <f t="shared" si="1"/>
        <v>30.76923076923077</v>
      </c>
      <c r="K27" s="44">
        <f t="shared" si="1"/>
        <v>28.571428571428573</v>
      </c>
      <c r="L27" s="44">
        <f t="shared" si="1"/>
        <v>26.666666666666668</v>
      </c>
      <c r="M27" s="44">
        <f t="shared" si="1"/>
        <v>25</v>
      </c>
      <c r="N27" s="44">
        <f t="shared" si="1"/>
        <v>23.529411764705884</v>
      </c>
      <c r="O27" s="44">
        <f t="shared" si="1"/>
        <v>22.222222222222221</v>
      </c>
      <c r="P27" s="44">
        <f t="shared" si="1"/>
        <v>21.05263157894737</v>
      </c>
      <c r="Q27" s="44">
        <f t="shared" si="1"/>
        <v>20</v>
      </c>
    </row>
    <row r="28" spans="1:18" ht="13.5" customHeight="1">
      <c r="A28" s="2">
        <v>425</v>
      </c>
      <c r="B28" s="44" t="str">
        <f t="shared" si="1"/>
        <v/>
      </c>
      <c r="C28" s="44" t="str">
        <f t="shared" si="1"/>
        <v/>
      </c>
      <c r="D28" s="44" t="str">
        <f t="shared" si="1"/>
        <v/>
      </c>
      <c r="E28" s="44" t="str">
        <f t="shared" si="1"/>
        <v/>
      </c>
      <c r="F28" s="44" t="str">
        <f t="shared" si="1"/>
        <v/>
      </c>
      <c r="G28" s="44" t="str">
        <f t="shared" si="1"/>
        <v/>
      </c>
      <c r="H28" s="44">
        <f t="shared" si="1"/>
        <v>38.636363636363633</v>
      </c>
      <c r="I28" s="44">
        <f t="shared" si="1"/>
        <v>35.416666666666664</v>
      </c>
      <c r="J28" s="44">
        <f t="shared" si="1"/>
        <v>32.692307692307693</v>
      </c>
      <c r="K28" s="44">
        <f t="shared" si="1"/>
        <v>30.357142857142858</v>
      </c>
      <c r="L28" s="44">
        <f t="shared" si="1"/>
        <v>28.333333333333332</v>
      </c>
      <c r="M28" s="44">
        <f t="shared" si="1"/>
        <v>26.5625</v>
      </c>
      <c r="N28" s="44">
        <f t="shared" si="1"/>
        <v>25</v>
      </c>
      <c r="O28" s="44">
        <f t="shared" si="1"/>
        <v>23.611111111111111</v>
      </c>
      <c r="P28" s="44">
        <f t="shared" si="1"/>
        <v>22.368421052631579</v>
      </c>
      <c r="Q28" s="44">
        <f t="shared" si="1"/>
        <v>21.25</v>
      </c>
    </row>
    <row r="29" spans="1:18" ht="13.5" customHeight="1">
      <c r="A29" s="2">
        <v>450</v>
      </c>
      <c r="B29" s="44" t="str">
        <f t="shared" si="1"/>
        <v/>
      </c>
      <c r="C29" s="44" t="str">
        <f t="shared" si="1"/>
        <v/>
      </c>
      <c r="D29" s="44" t="str">
        <f t="shared" si="1"/>
        <v/>
      </c>
      <c r="E29" s="44" t="str">
        <f t="shared" si="1"/>
        <v/>
      </c>
      <c r="F29" s="44" t="str">
        <f t="shared" si="1"/>
        <v/>
      </c>
      <c r="G29" s="44" t="str">
        <f t="shared" si="1"/>
        <v/>
      </c>
      <c r="H29" s="44" t="str">
        <f t="shared" si="1"/>
        <v/>
      </c>
      <c r="I29" s="44">
        <f t="shared" si="1"/>
        <v>37.5</v>
      </c>
      <c r="J29" s="44">
        <f t="shared" si="1"/>
        <v>34.615384615384613</v>
      </c>
      <c r="K29" s="44">
        <f t="shared" si="1"/>
        <v>32.142857142857146</v>
      </c>
      <c r="L29" s="44">
        <f t="shared" si="1"/>
        <v>30</v>
      </c>
      <c r="M29" s="44">
        <f t="shared" si="1"/>
        <v>28.125</v>
      </c>
      <c r="N29" s="44">
        <f t="shared" si="1"/>
        <v>26.470588235294116</v>
      </c>
      <c r="O29" s="44">
        <f t="shared" si="1"/>
        <v>25</v>
      </c>
      <c r="P29" s="44">
        <f t="shared" si="1"/>
        <v>23.684210526315791</v>
      </c>
      <c r="Q29" s="44">
        <f t="shared" si="1"/>
        <v>22.5</v>
      </c>
    </row>
    <row r="30" spans="1:18" ht="13.5" customHeight="1">
      <c r="A30" s="2">
        <v>475</v>
      </c>
      <c r="B30" s="44" t="str">
        <f t="shared" si="1"/>
        <v/>
      </c>
      <c r="C30" s="44" t="str">
        <f t="shared" si="1"/>
        <v/>
      </c>
      <c r="D30" s="44" t="str">
        <f t="shared" si="1"/>
        <v/>
      </c>
      <c r="E30" s="44" t="str">
        <f t="shared" si="1"/>
        <v/>
      </c>
      <c r="F30" s="44" t="str">
        <f t="shared" si="1"/>
        <v/>
      </c>
      <c r="G30" s="44" t="str">
        <f t="shared" si="1"/>
        <v/>
      </c>
      <c r="H30" s="44" t="str">
        <f t="shared" si="1"/>
        <v/>
      </c>
      <c r="I30" s="44">
        <f t="shared" si="1"/>
        <v>39.583333333333336</v>
      </c>
      <c r="J30" s="44">
        <f t="shared" si="1"/>
        <v>36.53846153846154</v>
      </c>
      <c r="K30" s="44">
        <f t="shared" si="1"/>
        <v>33.928571428571431</v>
      </c>
      <c r="L30" s="44">
        <f t="shared" si="1"/>
        <v>31.666666666666668</v>
      </c>
      <c r="M30" s="44">
        <f t="shared" si="1"/>
        <v>29.6875</v>
      </c>
      <c r="N30" s="44">
        <f t="shared" si="1"/>
        <v>27.941176470588236</v>
      </c>
      <c r="O30" s="44">
        <f t="shared" si="1"/>
        <v>26.388888888888889</v>
      </c>
      <c r="P30" s="44">
        <f t="shared" si="1"/>
        <v>25</v>
      </c>
      <c r="Q30" s="44">
        <f t="shared" si="1"/>
        <v>23.75</v>
      </c>
    </row>
    <row r="31" spans="1:18" ht="13.5" customHeight="1">
      <c r="A31" s="2">
        <v>500</v>
      </c>
      <c r="B31" s="44" t="str">
        <f t="shared" si="1"/>
        <v/>
      </c>
      <c r="C31" s="44" t="str">
        <f t="shared" si="1"/>
        <v/>
      </c>
      <c r="D31" s="44" t="str">
        <f t="shared" si="1"/>
        <v/>
      </c>
      <c r="E31" s="44" t="str">
        <f t="shared" si="1"/>
        <v/>
      </c>
      <c r="F31" s="44" t="str">
        <f t="shared" si="1"/>
        <v/>
      </c>
      <c r="G31" s="44" t="str">
        <f t="shared" si="1"/>
        <v/>
      </c>
      <c r="H31" s="44" t="str">
        <f t="shared" si="1"/>
        <v/>
      </c>
      <c r="I31" s="44" t="str">
        <f t="shared" si="1"/>
        <v/>
      </c>
      <c r="J31" s="44">
        <f t="shared" si="1"/>
        <v>38.46153846153846</v>
      </c>
      <c r="K31" s="44">
        <f t="shared" si="1"/>
        <v>35.714285714285715</v>
      </c>
      <c r="L31" s="44">
        <f t="shared" si="1"/>
        <v>33.333333333333336</v>
      </c>
      <c r="M31" s="44">
        <f t="shared" si="1"/>
        <v>31.25</v>
      </c>
      <c r="N31" s="44">
        <f t="shared" si="1"/>
        <v>29.411764705882351</v>
      </c>
      <c r="O31" s="44">
        <f t="shared" si="1"/>
        <v>27.777777777777779</v>
      </c>
      <c r="P31" s="44">
        <f t="shared" si="1"/>
        <v>26.315789473684209</v>
      </c>
      <c r="Q31" s="44">
        <f t="shared" si="1"/>
        <v>25</v>
      </c>
      <c r="R31" s="14"/>
    </row>
    <row r="32" spans="1:18" ht="13.5" customHeight="1">
      <c r="A32" s="2"/>
      <c r="B32" s="44"/>
      <c r="C32" s="44"/>
      <c r="D32" s="44"/>
      <c r="E32" s="44"/>
      <c r="F32" s="44"/>
      <c r="G32" s="44"/>
      <c r="H32" s="44"/>
      <c r="I32" s="44"/>
      <c r="J32" s="44"/>
      <c r="K32" s="44"/>
      <c r="L32" s="44"/>
      <c r="M32" s="44"/>
      <c r="N32" s="44"/>
      <c r="O32" s="44"/>
      <c r="P32" s="44"/>
      <c r="Q32" s="44"/>
      <c r="R32" s="14"/>
    </row>
    <row r="33" spans="1:26" ht="19.5" customHeight="1">
      <c r="A33" s="144" t="s">
        <v>36</v>
      </c>
      <c r="B33" s="144"/>
      <c r="C33" s="144"/>
      <c r="D33" s="144"/>
      <c r="E33" s="144"/>
      <c r="F33" s="144"/>
      <c r="G33" s="144"/>
      <c r="H33" s="144"/>
      <c r="I33" s="144"/>
      <c r="J33" s="144"/>
      <c r="K33" s="144"/>
      <c r="L33" s="144"/>
      <c r="M33" s="144"/>
      <c r="N33" s="144"/>
      <c r="O33" s="144"/>
      <c r="P33" s="144"/>
      <c r="Q33" s="144"/>
    </row>
    <row r="34" spans="1:26" ht="36" customHeight="1">
      <c r="A34" s="146" t="s">
        <v>40</v>
      </c>
      <c r="B34" s="146"/>
      <c r="C34" s="146"/>
      <c r="D34" s="146"/>
      <c r="E34" s="146"/>
      <c r="F34" s="146"/>
      <c r="G34" s="146"/>
      <c r="H34" s="146"/>
      <c r="I34" s="146"/>
      <c r="J34" s="146"/>
      <c r="K34" s="146"/>
      <c r="L34" s="146"/>
      <c r="M34" s="146"/>
      <c r="N34" s="146"/>
      <c r="O34" s="146"/>
      <c r="P34" s="146"/>
      <c r="Q34" s="146"/>
      <c r="R34" s="13"/>
      <c r="S34" s="13"/>
      <c r="T34" s="13"/>
      <c r="U34" s="13"/>
      <c r="V34" s="13"/>
      <c r="W34" s="13"/>
      <c r="X34" s="13"/>
      <c r="Y34" s="13"/>
      <c r="Z34" s="13"/>
    </row>
    <row r="35" spans="1:26">
      <c r="A35" s="145" t="s">
        <v>35</v>
      </c>
      <c r="B35" s="145"/>
      <c r="C35" s="145"/>
      <c r="D35" s="145"/>
      <c r="E35" s="145"/>
      <c r="F35" s="145"/>
      <c r="G35" s="145"/>
      <c r="H35" s="145"/>
      <c r="I35" s="145"/>
      <c r="J35" s="145"/>
      <c r="K35" s="145"/>
      <c r="L35" s="145"/>
      <c r="M35" s="145"/>
      <c r="N35" s="145"/>
      <c r="O35" s="145"/>
      <c r="P35" s="145"/>
      <c r="Q35" s="145"/>
      <c r="R35" s="13"/>
      <c r="S35" s="13"/>
      <c r="T35" s="13"/>
      <c r="U35" s="13"/>
      <c r="V35" s="13"/>
      <c r="W35" s="13"/>
      <c r="X35" s="13"/>
      <c r="Y35" s="13"/>
      <c r="Z35" s="13"/>
    </row>
    <row r="36" spans="1:26" s="52" customFormat="1" ht="16.5" customHeight="1">
      <c r="A36" s="52" t="s">
        <v>1</v>
      </c>
      <c r="B36" s="57" t="s">
        <v>19</v>
      </c>
      <c r="C36" s="57" t="s">
        <v>20</v>
      </c>
      <c r="D36" s="57" t="s">
        <v>21</v>
      </c>
      <c r="E36" s="57" t="s">
        <v>22</v>
      </c>
      <c r="F36" s="57" t="s">
        <v>23</v>
      </c>
      <c r="G36" s="57" t="s">
        <v>24</v>
      </c>
      <c r="H36" s="57" t="s">
        <v>25</v>
      </c>
      <c r="I36" s="57" t="s">
        <v>26</v>
      </c>
      <c r="J36" s="57" t="s">
        <v>27</v>
      </c>
      <c r="K36" s="57" t="s">
        <v>28</v>
      </c>
      <c r="L36" s="57" t="s">
        <v>29</v>
      </c>
      <c r="M36" s="57" t="s">
        <v>30</v>
      </c>
      <c r="N36" s="57" t="s">
        <v>31</v>
      </c>
      <c r="O36" s="57" t="s">
        <v>32</v>
      </c>
      <c r="P36" s="57" t="s">
        <v>33</v>
      </c>
      <c r="Q36" s="57" t="s">
        <v>34</v>
      </c>
      <c r="R36" s="58"/>
      <c r="S36" s="58"/>
      <c r="T36" s="58"/>
      <c r="U36" s="58"/>
      <c r="V36" s="58"/>
      <c r="W36" s="58"/>
      <c r="X36" s="58"/>
      <c r="Y36" s="58"/>
      <c r="Z36" s="58"/>
    </row>
    <row r="37" spans="1:26" ht="13.5" customHeight="1">
      <c r="A37" s="8">
        <v>25</v>
      </c>
      <c r="B37" s="45" t="str">
        <f t="shared" ref="B37:Q37" si="2">IF(B12="","",(((B$36*Per_OS)*SQFT_Acre)+($A37*med_unit))/SQFT_Acre)</f>
        <v/>
      </c>
      <c r="C37" s="45" t="str">
        <f t="shared" si="2"/>
        <v/>
      </c>
      <c r="D37" s="45" t="str">
        <f t="shared" si="2"/>
        <v/>
      </c>
      <c r="E37" s="45" t="str">
        <f t="shared" si="2"/>
        <v/>
      </c>
      <c r="F37" s="45" t="str">
        <f t="shared" si="2"/>
        <v/>
      </c>
      <c r="G37" s="45" t="str">
        <f t="shared" si="2"/>
        <v/>
      </c>
      <c r="H37" s="45" t="str">
        <f t="shared" si="2"/>
        <v/>
      </c>
      <c r="I37" s="45" t="str">
        <f t="shared" si="2"/>
        <v/>
      </c>
      <c r="J37" s="45" t="str">
        <f t="shared" si="2"/>
        <v/>
      </c>
      <c r="K37" s="45" t="str">
        <f t="shared" si="2"/>
        <v/>
      </c>
      <c r="L37" s="45" t="str">
        <f t="shared" si="2"/>
        <v/>
      </c>
      <c r="M37" s="45" t="str">
        <f t="shared" si="2"/>
        <v/>
      </c>
      <c r="N37" s="45" t="str">
        <f t="shared" si="2"/>
        <v/>
      </c>
      <c r="O37" s="45" t="str">
        <f t="shared" si="2"/>
        <v/>
      </c>
      <c r="P37" s="45" t="str">
        <f t="shared" si="2"/>
        <v/>
      </c>
      <c r="Q37" s="45" t="str">
        <f t="shared" si="2"/>
        <v/>
      </c>
    </row>
    <row r="38" spans="1:26" ht="13.5" customHeight="1">
      <c r="A38" s="8">
        <v>50</v>
      </c>
      <c r="B38" s="45">
        <f t="shared" ref="B38:Q38" si="3">IF(B13="","",(((B$36*Per_OS)*SQFT_Acre)+($A38*med_unit))/SQFT_Acre)</f>
        <v>0.78696051423324154</v>
      </c>
      <c r="C38" s="45">
        <f t="shared" si="3"/>
        <v>0.88696051423324151</v>
      </c>
      <c r="D38" s="45" t="str">
        <f t="shared" si="3"/>
        <v/>
      </c>
      <c r="E38" s="45" t="str">
        <f t="shared" si="3"/>
        <v/>
      </c>
      <c r="F38" s="45" t="str">
        <f t="shared" si="3"/>
        <v/>
      </c>
      <c r="G38" s="45" t="str">
        <f t="shared" si="3"/>
        <v/>
      </c>
      <c r="H38" s="45" t="str">
        <f t="shared" si="3"/>
        <v/>
      </c>
      <c r="I38" s="45" t="str">
        <f t="shared" si="3"/>
        <v/>
      </c>
      <c r="J38" s="45" t="str">
        <f t="shared" si="3"/>
        <v/>
      </c>
      <c r="K38" s="45" t="str">
        <f t="shared" si="3"/>
        <v/>
      </c>
      <c r="L38" s="45" t="str">
        <f t="shared" si="3"/>
        <v/>
      </c>
      <c r="M38" s="45" t="str">
        <f t="shared" si="3"/>
        <v/>
      </c>
      <c r="N38" s="45" t="str">
        <f t="shared" si="3"/>
        <v/>
      </c>
      <c r="O38" s="45" t="str">
        <f t="shared" si="3"/>
        <v/>
      </c>
      <c r="P38" s="45" t="str">
        <f t="shared" si="3"/>
        <v/>
      </c>
      <c r="Q38" s="45" t="str">
        <f t="shared" si="3"/>
        <v/>
      </c>
    </row>
    <row r="39" spans="1:26" ht="13.5" customHeight="1">
      <c r="A39" s="8">
        <v>75</v>
      </c>
      <c r="B39" s="45">
        <f t="shared" ref="B39:Q39" si="4">IF(B14="","",(((B$36*Per_OS)*SQFT_Acre)+($A39*med_unit))/SQFT_Acre)</f>
        <v>0.93044077134986225</v>
      </c>
      <c r="C39" s="45">
        <f t="shared" si="4"/>
        <v>1.0304407713498622</v>
      </c>
      <c r="D39" s="45">
        <f t="shared" si="4"/>
        <v>1.1304407713498623</v>
      </c>
      <c r="E39" s="45">
        <f t="shared" si="4"/>
        <v>1.2304407713498622</v>
      </c>
      <c r="F39" s="45">
        <f t="shared" si="4"/>
        <v>1.3304407713498623</v>
      </c>
      <c r="G39" s="45" t="str">
        <f t="shared" si="4"/>
        <v/>
      </c>
      <c r="H39" s="45" t="str">
        <f t="shared" si="4"/>
        <v/>
      </c>
      <c r="I39" s="45" t="str">
        <f t="shared" si="4"/>
        <v/>
      </c>
      <c r="J39" s="45" t="str">
        <f t="shared" si="4"/>
        <v/>
      </c>
      <c r="K39" s="45" t="str">
        <f t="shared" si="4"/>
        <v/>
      </c>
      <c r="L39" s="45" t="str">
        <f t="shared" si="4"/>
        <v/>
      </c>
      <c r="M39" s="45" t="str">
        <f t="shared" si="4"/>
        <v/>
      </c>
      <c r="N39" s="45" t="str">
        <f t="shared" si="4"/>
        <v/>
      </c>
      <c r="O39" s="45" t="str">
        <f t="shared" si="4"/>
        <v/>
      </c>
      <c r="P39" s="45" t="str">
        <f t="shared" si="4"/>
        <v/>
      </c>
      <c r="Q39" s="45" t="str">
        <f t="shared" si="4"/>
        <v/>
      </c>
    </row>
    <row r="40" spans="1:26" ht="13.5" customHeight="1">
      <c r="A40" s="8">
        <v>100</v>
      </c>
      <c r="B40" s="45">
        <f t="shared" ref="B40:Q40" si="5">IF(B15="","",(((B$36*Per_OS)*SQFT_Acre)+($A40*med_unit))/SQFT_Acre)</f>
        <v>1.0739210284664831</v>
      </c>
      <c r="C40" s="45">
        <f t="shared" si="5"/>
        <v>1.1739210284664829</v>
      </c>
      <c r="D40" s="45">
        <f t="shared" si="5"/>
        <v>1.273921028466483</v>
      </c>
      <c r="E40" s="45">
        <f t="shared" si="5"/>
        <v>1.3739210284664831</v>
      </c>
      <c r="F40" s="45">
        <f t="shared" si="5"/>
        <v>1.473921028466483</v>
      </c>
      <c r="G40" s="45">
        <f t="shared" si="5"/>
        <v>1.5739210284664831</v>
      </c>
      <c r="H40" s="45">
        <f t="shared" si="5"/>
        <v>1.6739210284664829</v>
      </c>
      <c r="I40" s="45">
        <f t="shared" si="5"/>
        <v>1.773921028466483</v>
      </c>
      <c r="J40" s="45" t="str">
        <f t="shared" si="5"/>
        <v/>
      </c>
      <c r="K40" s="45" t="str">
        <f t="shared" si="5"/>
        <v/>
      </c>
      <c r="L40" s="45" t="str">
        <f t="shared" si="5"/>
        <v/>
      </c>
      <c r="M40" s="45" t="str">
        <f t="shared" si="5"/>
        <v/>
      </c>
      <c r="N40" s="45" t="str">
        <f t="shared" si="5"/>
        <v/>
      </c>
      <c r="O40" s="45" t="str">
        <f t="shared" si="5"/>
        <v/>
      </c>
      <c r="P40" s="45" t="str">
        <f t="shared" si="5"/>
        <v/>
      </c>
      <c r="Q40" s="45" t="str">
        <f t="shared" si="5"/>
        <v/>
      </c>
    </row>
    <row r="41" spans="1:26" ht="13.5" customHeight="1">
      <c r="A41" s="8">
        <v>125</v>
      </c>
      <c r="B41" s="45">
        <f t="shared" ref="B41:Q41" si="6">IF(B16="","",(((B$36*Per_OS)*SQFT_Acre)+($A41*med_unit))/SQFT_Acre)</f>
        <v>1.2174012855831038</v>
      </c>
      <c r="C41" s="45">
        <f t="shared" si="6"/>
        <v>1.3174012855831037</v>
      </c>
      <c r="D41" s="45">
        <f t="shared" si="6"/>
        <v>1.4174012855831037</v>
      </c>
      <c r="E41" s="45">
        <f t="shared" si="6"/>
        <v>1.5174012855831038</v>
      </c>
      <c r="F41" s="45">
        <f t="shared" si="6"/>
        <v>1.6174012855831037</v>
      </c>
      <c r="G41" s="45">
        <f t="shared" si="6"/>
        <v>1.7174012855831038</v>
      </c>
      <c r="H41" s="45">
        <f t="shared" si="6"/>
        <v>1.8174012855831037</v>
      </c>
      <c r="I41" s="45">
        <f t="shared" si="6"/>
        <v>1.9174012855831037</v>
      </c>
      <c r="J41" s="45">
        <f t="shared" si="6"/>
        <v>2.0174012855831038</v>
      </c>
      <c r="K41" s="45">
        <f t="shared" si="6"/>
        <v>2.1174012855831039</v>
      </c>
      <c r="L41" s="45">
        <f t="shared" si="6"/>
        <v>2.2174012855831036</v>
      </c>
      <c r="M41" s="45" t="str">
        <f t="shared" si="6"/>
        <v/>
      </c>
      <c r="N41" s="45" t="str">
        <f t="shared" si="6"/>
        <v/>
      </c>
      <c r="O41" s="45" t="str">
        <f t="shared" si="6"/>
        <v/>
      </c>
      <c r="P41" s="45" t="str">
        <f t="shared" si="6"/>
        <v/>
      </c>
      <c r="Q41" s="45" t="str">
        <f t="shared" si="6"/>
        <v/>
      </c>
    </row>
    <row r="42" spans="1:26" ht="13.5" customHeight="1">
      <c r="A42" s="8">
        <v>150</v>
      </c>
      <c r="B42" s="45">
        <f t="shared" ref="B42:Q42" si="7">IF(B17="","",(((B$36*Per_OS)*SQFT_Acre)+($A42*med_unit))/SQFT_Acre)</f>
        <v>1.3608815426997245</v>
      </c>
      <c r="C42" s="45">
        <f t="shared" si="7"/>
        <v>1.4608815426997246</v>
      </c>
      <c r="D42" s="45">
        <f t="shared" si="7"/>
        <v>1.5608815426997245</v>
      </c>
      <c r="E42" s="45">
        <f t="shared" si="7"/>
        <v>1.6608815426997245</v>
      </c>
      <c r="F42" s="45">
        <f t="shared" si="7"/>
        <v>1.7608815426997244</v>
      </c>
      <c r="G42" s="45">
        <f t="shared" si="7"/>
        <v>1.8608815426997245</v>
      </c>
      <c r="H42" s="45">
        <f t="shared" si="7"/>
        <v>1.9608815426997246</v>
      </c>
      <c r="I42" s="45">
        <f t="shared" si="7"/>
        <v>2.0608815426997245</v>
      </c>
      <c r="J42" s="45">
        <f t="shared" si="7"/>
        <v>2.1608815426997245</v>
      </c>
      <c r="K42" s="45">
        <f t="shared" si="7"/>
        <v>2.2608815426997246</v>
      </c>
      <c r="L42" s="45">
        <f t="shared" si="7"/>
        <v>2.3608815426997247</v>
      </c>
      <c r="M42" s="45">
        <f t="shared" si="7"/>
        <v>2.4608815426997244</v>
      </c>
      <c r="N42" s="45">
        <f t="shared" si="7"/>
        <v>2.5608815426997249</v>
      </c>
      <c r="O42" s="45">
        <f t="shared" si="7"/>
        <v>2.6608815426997245</v>
      </c>
      <c r="P42" s="45" t="str">
        <f t="shared" si="7"/>
        <v/>
      </c>
      <c r="Q42" s="45" t="str">
        <f t="shared" si="7"/>
        <v/>
      </c>
    </row>
    <row r="43" spans="1:26" ht="13.5" customHeight="1">
      <c r="A43" s="8">
        <v>175</v>
      </c>
      <c r="B43" s="45">
        <f t="shared" ref="B43:Q43" si="8">IF(B18="","",(((B$36*Per_OS)*SQFT_Acre)+($A43*med_unit))/SQFT_Acre)</f>
        <v>1.5043617998163452</v>
      </c>
      <c r="C43" s="45">
        <f t="shared" si="8"/>
        <v>1.6043617998163453</v>
      </c>
      <c r="D43" s="45">
        <f t="shared" si="8"/>
        <v>1.7043617998163452</v>
      </c>
      <c r="E43" s="45">
        <f t="shared" si="8"/>
        <v>1.8043617998163453</v>
      </c>
      <c r="F43" s="45">
        <f t="shared" si="8"/>
        <v>1.9043617998163453</v>
      </c>
      <c r="G43" s="45">
        <f t="shared" si="8"/>
        <v>2.0043617998163454</v>
      </c>
      <c r="H43" s="45">
        <f t="shared" si="8"/>
        <v>2.1043617998163451</v>
      </c>
      <c r="I43" s="45">
        <f t="shared" si="8"/>
        <v>2.2043617998163452</v>
      </c>
      <c r="J43" s="45">
        <f t="shared" si="8"/>
        <v>2.3043617998163453</v>
      </c>
      <c r="K43" s="45">
        <f t="shared" si="8"/>
        <v>2.4043617998163453</v>
      </c>
      <c r="L43" s="45">
        <f t="shared" si="8"/>
        <v>2.5043617998163454</v>
      </c>
      <c r="M43" s="45">
        <f t="shared" si="8"/>
        <v>2.6043617998163451</v>
      </c>
      <c r="N43" s="45">
        <f t="shared" si="8"/>
        <v>2.7043617998163456</v>
      </c>
      <c r="O43" s="45">
        <f t="shared" si="8"/>
        <v>2.8043617998163453</v>
      </c>
      <c r="P43" s="45">
        <f t="shared" si="8"/>
        <v>2.9043617998163453</v>
      </c>
      <c r="Q43" s="45">
        <f t="shared" si="8"/>
        <v>3.0043617998163454</v>
      </c>
    </row>
    <row r="44" spans="1:26" ht="13.5" customHeight="1">
      <c r="A44" s="8">
        <v>200</v>
      </c>
      <c r="B44" s="45" t="str">
        <f t="shared" ref="B44:Q44" si="9">IF(B19="","",(((B$36*Per_OS)*SQFT_Acre)+($A44*med_unit))/SQFT_Acre)</f>
        <v/>
      </c>
      <c r="C44" s="45">
        <f t="shared" si="9"/>
        <v>1.747842056932966</v>
      </c>
      <c r="D44" s="45">
        <f t="shared" si="9"/>
        <v>1.8478420569329661</v>
      </c>
      <c r="E44" s="45">
        <f t="shared" si="9"/>
        <v>1.947842056932966</v>
      </c>
      <c r="F44" s="45">
        <f t="shared" si="9"/>
        <v>2.0478420569329661</v>
      </c>
      <c r="G44" s="45">
        <f t="shared" si="9"/>
        <v>2.1478420569329661</v>
      </c>
      <c r="H44" s="45">
        <f t="shared" si="9"/>
        <v>2.2478420569329662</v>
      </c>
      <c r="I44" s="45">
        <f t="shared" si="9"/>
        <v>2.3478420569329659</v>
      </c>
      <c r="J44" s="45">
        <f t="shared" si="9"/>
        <v>2.447842056932966</v>
      </c>
      <c r="K44" s="45">
        <f t="shared" si="9"/>
        <v>2.5478420569329661</v>
      </c>
      <c r="L44" s="45">
        <f t="shared" si="9"/>
        <v>2.6478420569329661</v>
      </c>
      <c r="M44" s="45">
        <f t="shared" si="9"/>
        <v>2.7478420569329662</v>
      </c>
      <c r="N44" s="45">
        <f t="shared" si="9"/>
        <v>2.8478420569329663</v>
      </c>
      <c r="O44" s="45">
        <f t="shared" si="9"/>
        <v>2.947842056932966</v>
      </c>
      <c r="P44" s="45">
        <f t="shared" si="9"/>
        <v>3.0478420569329661</v>
      </c>
      <c r="Q44" s="45">
        <f t="shared" si="9"/>
        <v>3.1478420569329661</v>
      </c>
    </row>
    <row r="45" spans="1:26" ht="13.5" customHeight="1">
      <c r="A45" s="8">
        <v>225</v>
      </c>
      <c r="B45" s="45" t="str">
        <f t="shared" ref="B45:Q45" si="10">IF(B20="","",(((B$36*Per_OS)*SQFT_Acre)+($A45*med_unit))/SQFT_Acre)</f>
        <v/>
      </c>
      <c r="C45" s="45">
        <f t="shared" si="10"/>
        <v>1.8913223140495867</v>
      </c>
      <c r="D45" s="45">
        <f t="shared" si="10"/>
        <v>1.9913223140495868</v>
      </c>
      <c r="E45" s="45">
        <f t="shared" si="10"/>
        <v>2.0913223140495867</v>
      </c>
      <c r="F45" s="45">
        <f t="shared" si="10"/>
        <v>2.1913223140495868</v>
      </c>
      <c r="G45" s="45">
        <f t="shared" si="10"/>
        <v>2.2913223140495869</v>
      </c>
      <c r="H45" s="45">
        <f t="shared" si="10"/>
        <v>2.391322314049587</v>
      </c>
      <c r="I45" s="45">
        <f t="shared" si="10"/>
        <v>2.4913223140495866</v>
      </c>
      <c r="J45" s="45">
        <f t="shared" si="10"/>
        <v>2.5913223140495867</v>
      </c>
      <c r="K45" s="45">
        <f t="shared" si="10"/>
        <v>2.6913223140495868</v>
      </c>
      <c r="L45" s="45">
        <f t="shared" si="10"/>
        <v>2.7913223140495869</v>
      </c>
      <c r="M45" s="45">
        <f t="shared" si="10"/>
        <v>2.891322314049587</v>
      </c>
      <c r="N45" s="45">
        <f t="shared" si="10"/>
        <v>2.991322314049587</v>
      </c>
      <c r="O45" s="45">
        <f t="shared" si="10"/>
        <v>3.0913223140495867</v>
      </c>
      <c r="P45" s="45">
        <f t="shared" si="10"/>
        <v>3.1913223140495868</v>
      </c>
      <c r="Q45" s="45">
        <f t="shared" si="10"/>
        <v>3.2913223140495869</v>
      </c>
    </row>
    <row r="46" spans="1:26" ht="13.5" customHeight="1">
      <c r="A46" s="8">
        <v>250</v>
      </c>
      <c r="B46" s="45" t="str">
        <f t="shared" ref="B46:Q46" si="11">IF(B21="","",(((B$36*Per_OS)*SQFT_Acre)+($A46*med_unit))/SQFT_Acre)</f>
        <v/>
      </c>
      <c r="C46" s="45" t="str">
        <f t="shared" si="11"/>
        <v/>
      </c>
      <c r="D46" s="45">
        <f t="shared" si="11"/>
        <v>2.1348025711662073</v>
      </c>
      <c r="E46" s="45">
        <f t="shared" si="11"/>
        <v>2.2348025711662074</v>
      </c>
      <c r="F46" s="45">
        <f t="shared" si="11"/>
        <v>2.3348025711662075</v>
      </c>
      <c r="G46" s="45">
        <f t="shared" si="11"/>
        <v>2.4348025711662076</v>
      </c>
      <c r="H46" s="45">
        <f t="shared" si="11"/>
        <v>2.5348025711662077</v>
      </c>
      <c r="I46" s="45">
        <f t="shared" si="11"/>
        <v>2.6348025711662073</v>
      </c>
      <c r="J46" s="45">
        <f t="shared" si="11"/>
        <v>2.7348025711662074</v>
      </c>
      <c r="K46" s="45">
        <f t="shared" si="11"/>
        <v>2.8348025711662075</v>
      </c>
      <c r="L46" s="45">
        <f t="shared" si="11"/>
        <v>2.9348025711662076</v>
      </c>
      <c r="M46" s="45">
        <f t="shared" si="11"/>
        <v>3.0348025711662077</v>
      </c>
      <c r="N46" s="45">
        <f t="shared" si="11"/>
        <v>3.1348025711662073</v>
      </c>
      <c r="O46" s="45">
        <f t="shared" si="11"/>
        <v>3.2348025711662074</v>
      </c>
      <c r="P46" s="45">
        <f t="shared" si="11"/>
        <v>3.3348025711662075</v>
      </c>
      <c r="Q46" s="45">
        <f t="shared" si="11"/>
        <v>3.4348025711662076</v>
      </c>
    </row>
    <row r="47" spans="1:26" ht="13.5" customHeight="1">
      <c r="A47" s="8">
        <v>275</v>
      </c>
      <c r="B47" s="45" t="str">
        <f t="shared" ref="B47:Q47" si="12">IF(B22="","",(((B$36*Per_OS)*SQFT_Acre)+($A47*med_unit))/SQFT_Acre)</f>
        <v/>
      </c>
      <c r="C47" s="45" t="str">
        <f t="shared" si="12"/>
        <v/>
      </c>
      <c r="D47" s="45">
        <f t="shared" si="12"/>
        <v>2.2782828282828285</v>
      </c>
      <c r="E47" s="45">
        <f t="shared" si="12"/>
        <v>2.3782828282828281</v>
      </c>
      <c r="F47" s="45">
        <f t="shared" si="12"/>
        <v>2.4782828282828282</v>
      </c>
      <c r="G47" s="45">
        <f t="shared" si="12"/>
        <v>2.5782828282828283</v>
      </c>
      <c r="H47" s="45">
        <f t="shared" si="12"/>
        <v>2.6782828282828284</v>
      </c>
      <c r="I47" s="45">
        <f t="shared" si="12"/>
        <v>2.7782828282828285</v>
      </c>
      <c r="J47" s="45">
        <f t="shared" si="12"/>
        <v>2.8782828282828281</v>
      </c>
      <c r="K47" s="45">
        <f t="shared" si="12"/>
        <v>2.9782828282828282</v>
      </c>
      <c r="L47" s="45">
        <f t="shared" si="12"/>
        <v>3.0782828282828283</v>
      </c>
      <c r="M47" s="45">
        <f t="shared" si="12"/>
        <v>3.1782828282828284</v>
      </c>
      <c r="N47" s="45">
        <f t="shared" si="12"/>
        <v>3.2782828282828285</v>
      </c>
      <c r="O47" s="45">
        <f t="shared" si="12"/>
        <v>3.3782828282828281</v>
      </c>
      <c r="P47" s="45">
        <f t="shared" si="12"/>
        <v>3.4782828282828282</v>
      </c>
      <c r="Q47" s="45">
        <f t="shared" si="12"/>
        <v>3.5782828282828283</v>
      </c>
    </row>
    <row r="48" spans="1:26" ht="13.5" customHeight="1">
      <c r="A48" s="8">
        <v>300</v>
      </c>
      <c r="B48" s="45" t="str">
        <f t="shared" ref="B48:Q48" si="13">IF(B23="","",(((B$36*Per_OS)*SQFT_Acre)+($A48*med_unit))/SQFT_Acre)</f>
        <v/>
      </c>
      <c r="C48" s="45" t="str">
        <f t="shared" si="13"/>
        <v/>
      </c>
      <c r="D48" s="45" t="str">
        <f t="shared" si="13"/>
        <v/>
      </c>
      <c r="E48" s="45">
        <f t="shared" si="13"/>
        <v>2.5217630853994488</v>
      </c>
      <c r="F48" s="45">
        <f t="shared" si="13"/>
        <v>2.6217630853994489</v>
      </c>
      <c r="G48" s="45">
        <f t="shared" si="13"/>
        <v>2.721763085399449</v>
      </c>
      <c r="H48" s="45">
        <f t="shared" si="13"/>
        <v>2.8217630853994491</v>
      </c>
      <c r="I48" s="45">
        <f t="shared" si="13"/>
        <v>2.9217630853994492</v>
      </c>
      <c r="J48" s="45">
        <f t="shared" si="13"/>
        <v>3.0217630853994488</v>
      </c>
      <c r="K48" s="45">
        <f t="shared" si="13"/>
        <v>3.1217630853994489</v>
      </c>
      <c r="L48" s="45">
        <f t="shared" si="13"/>
        <v>3.221763085399449</v>
      </c>
      <c r="M48" s="45">
        <f t="shared" si="13"/>
        <v>3.3217630853994491</v>
      </c>
      <c r="N48" s="45">
        <f t="shared" si="13"/>
        <v>3.4217630853994492</v>
      </c>
      <c r="O48" s="45">
        <f t="shared" si="13"/>
        <v>3.5217630853994488</v>
      </c>
      <c r="P48" s="45">
        <f t="shared" si="13"/>
        <v>3.6217630853994489</v>
      </c>
      <c r="Q48" s="45">
        <f t="shared" si="13"/>
        <v>3.721763085399449</v>
      </c>
    </row>
    <row r="49" spans="1:26" ht="13.5" customHeight="1">
      <c r="A49" s="8">
        <v>325</v>
      </c>
      <c r="B49" s="45" t="str">
        <f t="shared" ref="B49:Q49" si="14">IF(B24="","",(((B$36*Per_OS)*SQFT_Acre)+($A49*med_unit))/SQFT_Acre)</f>
        <v/>
      </c>
      <c r="C49" s="45" t="str">
        <f t="shared" si="14"/>
        <v/>
      </c>
      <c r="D49" s="45" t="str">
        <f t="shared" si="14"/>
        <v/>
      </c>
      <c r="E49" s="45" t="str">
        <f t="shared" si="14"/>
        <v/>
      </c>
      <c r="F49" s="45">
        <f t="shared" si="14"/>
        <v>2.7652433425160696</v>
      </c>
      <c r="G49" s="45">
        <f t="shared" si="14"/>
        <v>2.8652433425160697</v>
      </c>
      <c r="H49" s="45">
        <f t="shared" si="14"/>
        <v>2.9652433425160698</v>
      </c>
      <c r="I49" s="45">
        <f t="shared" si="14"/>
        <v>3.0652433425160699</v>
      </c>
      <c r="J49" s="45">
        <f t="shared" si="14"/>
        <v>3.16524334251607</v>
      </c>
      <c r="K49" s="45">
        <f t="shared" si="14"/>
        <v>3.2652433425160696</v>
      </c>
      <c r="L49" s="45">
        <f t="shared" si="14"/>
        <v>3.3652433425160697</v>
      </c>
      <c r="M49" s="45">
        <f t="shared" si="14"/>
        <v>3.4652433425160698</v>
      </c>
      <c r="N49" s="45">
        <f t="shared" si="14"/>
        <v>3.5652433425160699</v>
      </c>
      <c r="O49" s="45">
        <f t="shared" si="14"/>
        <v>3.66524334251607</v>
      </c>
      <c r="P49" s="45">
        <f t="shared" si="14"/>
        <v>3.7652433425160696</v>
      </c>
      <c r="Q49" s="45">
        <f t="shared" si="14"/>
        <v>3.8652433425160697</v>
      </c>
    </row>
    <row r="50" spans="1:26" ht="13.5" customHeight="1">
      <c r="A50" s="8">
        <v>350</v>
      </c>
      <c r="B50" s="45" t="str">
        <f t="shared" ref="B50:Q50" si="15">IF(B25="","",(((B$36*Per_OS)*SQFT_Acre)+($A50*med_unit))/SQFT_Acre)</f>
        <v/>
      </c>
      <c r="C50" s="45" t="str">
        <f t="shared" si="15"/>
        <v/>
      </c>
      <c r="D50" s="45" t="str">
        <f t="shared" si="15"/>
        <v/>
      </c>
      <c r="E50" s="45" t="str">
        <f t="shared" si="15"/>
        <v/>
      </c>
      <c r="F50" s="45">
        <f t="shared" si="15"/>
        <v>2.9087235996326903</v>
      </c>
      <c r="G50" s="45">
        <f t="shared" si="15"/>
        <v>3.0087235996326904</v>
      </c>
      <c r="H50" s="45">
        <f t="shared" si="15"/>
        <v>3.1087235996326905</v>
      </c>
      <c r="I50" s="45">
        <f t="shared" si="15"/>
        <v>3.2087235996326906</v>
      </c>
      <c r="J50" s="45">
        <f t="shared" si="15"/>
        <v>3.3087235996326907</v>
      </c>
      <c r="K50" s="45">
        <f t="shared" si="15"/>
        <v>3.4087235996326903</v>
      </c>
      <c r="L50" s="45">
        <f t="shared" si="15"/>
        <v>3.5087235996326904</v>
      </c>
      <c r="M50" s="45">
        <f t="shared" si="15"/>
        <v>3.6087235996326905</v>
      </c>
      <c r="N50" s="45">
        <f t="shared" si="15"/>
        <v>3.7087235996326906</v>
      </c>
      <c r="O50" s="45">
        <f t="shared" si="15"/>
        <v>3.8087235996326907</v>
      </c>
      <c r="P50" s="45">
        <f t="shared" si="15"/>
        <v>3.9087235996326903</v>
      </c>
      <c r="Q50" s="45">
        <f t="shared" si="15"/>
        <v>4.0087235996326909</v>
      </c>
    </row>
    <row r="51" spans="1:26" ht="13.5" customHeight="1">
      <c r="A51" s="8">
        <v>375</v>
      </c>
      <c r="B51" s="45" t="str">
        <f t="shared" ref="B51:Q51" si="16">IF(B26="","",(((B$36*Per_OS)*SQFT_Acre)+($A51*med_unit))/SQFT_Acre)</f>
        <v/>
      </c>
      <c r="C51" s="45" t="str">
        <f t="shared" si="16"/>
        <v/>
      </c>
      <c r="D51" s="45" t="str">
        <f t="shared" si="16"/>
        <v/>
      </c>
      <c r="E51" s="45" t="str">
        <f t="shared" si="16"/>
        <v/>
      </c>
      <c r="F51" s="45" t="str">
        <f t="shared" si="16"/>
        <v/>
      </c>
      <c r="G51" s="45">
        <f t="shared" si="16"/>
        <v>3.1522038567493111</v>
      </c>
      <c r="H51" s="45">
        <f t="shared" si="16"/>
        <v>3.2522038567493112</v>
      </c>
      <c r="I51" s="45">
        <f t="shared" si="16"/>
        <v>3.3522038567493113</v>
      </c>
      <c r="J51" s="45">
        <f t="shared" si="16"/>
        <v>3.4522038567493114</v>
      </c>
      <c r="K51" s="45">
        <f t="shared" si="16"/>
        <v>3.5522038567493115</v>
      </c>
      <c r="L51" s="45">
        <f t="shared" si="16"/>
        <v>3.6522038567493111</v>
      </c>
      <c r="M51" s="45">
        <f t="shared" si="16"/>
        <v>3.7522038567493112</v>
      </c>
      <c r="N51" s="45">
        <f t="shared" si="16"/>
        <v>3.8522038567493113</v>
      </c>
      <c r="O51" s="45">
        <f t="shared" si="16"/>
        <v>3.9522038567493114</v>
      </c>
      <c r="P51" s="45">
        <f t="shared" si="16"/>
        <v>4.0522038567493111</v>
      </c>
      <c r="Q51" s="45">
        <f t="shared" si="16"/>
        <v>4.1522038567493116</v>
      </c>
    </row>
    <row r="52" spans="1:26" ht="13.5" customHeight="1">
      <c r="A52" s="8">
        <v>400</v>
      </c>
      <c r="B52" s="45" t="str">
        <f t="shared" ref="B52:Q52" si="17">IF(B27="","",(((B$36*Per_OS)*SQFT_Acre)+($A52*med_unit))/SQFT_Acre)</f>
        <v/>
      </c>
      <c r="C52" s="45" t="str">
        <f t="shared" si="17"/>
        <v/>
      </c>
      <c r="D52" s="45" t="str">
        <f t="shared" si="17"/>
        <v/>
      </c>
      <c r="E52" s="45" t="str">
        <f t="shared" si="17"/>
        <v/>
      </c>
      <c r="F52" s="45" t="str">
        <f t="shared" si="17"/>
        <v/>
      </c>
      <c r="G52" s="45" t="str">
        <f t="shared" si="17"/>
        <v/>
      </c>
      <c r="H52" s="45">
        <f t="shared" si="17"/>
        <v>3.3956841138659319</v>
      </c>
      <c r="I52" s="45">
        <f t="shared" si="17"/>
        <v>3.495684113865932</v>
      </c>
      <c r="J52" s="45">
        <f t="shared" si="17"/>
        <v>3.5956841138659321</v>
      </c>
      <c r="K52" s="45">
        <f t="shared" si="17"/>
        <v>3.6956841138659322</v>
      </c>
      <c r="L52" s="45">
        <f t="shared" si="17"/>
        <v>3.7956841138659319</v>
      </c>
      <c r="M52" s="45">
        <f t="shared" si="17"/>
        <v>3.8956841138659319</v>
      </c>
      <c r="N52" s="45">
        <f t="shared" si="17"/>
        <v>3.995684113865932</v>
      </c>
      <c r="O52" s="45">
        <f t="shared" si="17"/>
        <v>4.0956841138659321</v>
      </c>
      <c r="P52" s="45">
        <f t="shared" si="17"/>
        <v>4.1956841138659318</v>
      </c>
      <c r="Q52" s="45">
        <f t="shared" si="17"/>
        <v>4.2956841138659323</v>
      </c>
    </row>
    <row r="53" spans="1:26" ht="13.5" customHeight="1">
      <c r="A53" s="8">
        <v>425</v>
      </c>
      <c r="B53" s="45" t="str">
        <f t="shared" ref="B53:Q53" si="18">IF(B28="","",(((B$36*Per_OS)*SQFT_Acre)+($A53*med_unit))/SQFT_Acre)</f>
        <v/>
      </c>
      <c r="C53" s="45" t="str">
        <f t="shared" si="18"/>
        <v/>
      </c>
      <c r="D53" s="45" t="str">
        <f t="shared" si="18"/>
        <v/>
      </c>
      <c r="E53" s="45" t="str">
        <f t="shared" si="18"/>
        <v/>
      </c>
      <c r="F53" s="45" t="str">
        <f t="shared" si="18"/>
        <v/>
      </c>
      <c r="G53" s="45" t="str">
        <f t="shared" si="18"/>
        <v/>
      </c>
      <c r="H53" s="45">
        <f t="shared" si="18"/>
        <v>3.5391643709825527</v>
      </c>
      <c r="I53" s="45">
        <f t="shared" si="18"/>
        <v>3.6391643709825527</v>
      </c>
      <c r="J53" s="45">
        <f t="shared" si="18"/>
        <v>3.7391643709825528</v>
      </c>
      <c r="K53" s="45">
        <f t="shared" si="18"/>
        <v>3.8391643709825529</v>
      </c>
      <c r="L53" s="45">
        <f t="shared" si="18"/>
        <v>3.939164370982553</v>
      </c>
      <c r="M53" s="45">
        <f t="shared" si="18"/>
        <v>4.0391643709825527</v>
      </c>
      <c r="N53" s="45">
        <f t="shared" si="18"/>
        <v>4.1391643709825532</v>
      </c>
      <c r="O53" s="45">
        <f t="shared" si="18"/>
        <v>4.2391643709825528</v>
      </c>
      <c r="P53" s="45">
        <f t="shared" si="18"/>
        <v>4.3391643709825525</v>
      </c>
      <c r="Q53" s="45">
        <f t="shared" si="18"/>
        <v>4.439164370982553</v>
      </c>
    </row>
    <row r="54" spans="1:26" ht="13.5" customHeight="1">
      <c r="A54" s="8">
        <v>450</v>
      </c>
      <c r="B54" s="45" t="str">
        <f t="shared" ref="B54:Q54" si="19">IF(B29="","",(((B$36*Per_OS)*SQFT_Acre)+($A54*med_unit))/SQFT_Acre)</f>
        <v/>
      </c>
      <c r="C54" s="45" t="str">
        <f t="shared" si="19"/>
        <v/>
      </c>
      <c r="D54" s="45" t="str">
        <f t="shared" si="19"/>
        <v/>
      </c>
      <c r="E54" s="45" t="str">
        <f t="shared" si="19"/>
        <v/>
      </c>
      <c r="F54" s="45" t="str">
        <f t="shared" si="19"/>
        <v/>
      </c>
      <c r="G54" s="45" t="str">
        <f t="shared" si="19"/>
        <v/>
      </c>
      <c r="H54" s="45" t="str">
        <f t="shared" si="19"/>
        <v/>
      </c>
      <c r="I54" s="45">
        <f t="shared" si="19"/>
        <v>3.7826446280991735</v>
      </c>
      <c r="J54" s="45">
        <f t="shared" si="19"/>
        <v>3.8826446280991735</v>
      </c>
      <c r="K54" s="45">
        <f t="shared" si="19"/>
        <v>3.9826446280991736</v>
      </c>
      <c r="L54" s="45">
        <f t="shared" si="19"/>
        <v>4.0826446280991737</v>
      </c>
      <c r="M54" s="45">
        <f t="shared" si="19"/>
        <v>4.1826446280991734</v>
      </c>
      <c r="N54" s="45">
        <f t="shared" si="19"/>
        <v>4.2826446280991739</v>
      </c>
      <c r="O54" s="45">
        <f t="shared" si="19"/>
        <v>4.3826446280991735</v>
      </c>
      <c r="P54" s="45">
        <f t="shared" si="19"/>
        <v>4.4826446280991732</v>
      </c>
      <c r="Q54" s="45">
        <f t="shared" si="19"/>
        <v>4.5826446280991737</v>
      </c>
    </row>
    <row r="55" spans="1:26" ht="13.5" customHeight="1">
      <c r="A55" s="8">
        <v>475</v>
      </c>
      <c r="B55" s="45" t="str">
        <f t="shared" ref="B55:Q55" si="20">IF(B30="","",(((B$36*Per_OS)*SQFT_Acre)+($A55*med_unit))/SQFT_Acre)</f>
        <v/>
      </c>
      <c r="C55" s="45" t="str">
        <f t="shared" si="20"/>
        <v/>
      </c>
      <c r="D55" s="45" t="str">
        <f t="shared" si="20"/>
        <v/>
      </c>
      <c r="E55" s="45" t="str">
        <f t="shared" si="20"/>
        <v/>
      </c>
      <c r="F55" s="45" t="str">
        <f t="shared" si="20"/>
        <v/>
      </c>
      <c r="G55" s="45" t="str">
        <f t="shared" si="20"/>
        <v/>
      </c>
      <c r="H55" s="45" t="str">
        <f t="shared" si="20"/>
        <v/>
      </c>
      <c r="I55" s="45">
        <f t="shared" si="20"/>
        <v>3.9261248852157942</v>
      </c>
      <c r="J55" s="45">
        <f t="shared" si="20"/>
        <v>4.0261248852157943</v>
      </c>
      <c r="K55" s="45">
        <f t="shared" si="20"/>
        <v>4.1261248852157939</v>
      </c>
      <c r="L55" s="45">
        <f t="shared" si="20"/>
        <v>4.2261248852157944</v>
      </c>
      <c r="M55" s="45">
        <f t="shared" si="20"/>
        <v>4.3261248852157941</v>
      </c>
      <c r="N55" s="45">
        <f t="shared" si="20"/>
        <v>4.4261248852157946</v>
      </c>
      <c r="O55" s="45">
        <f t="shared" si="20"/>
        <v>4.5261248852157943</v>
      </c>
      <c r="P55" s="45">
        <f t="shared" si="20"/>
        <v>4.6261248852157939</v>
      </c>
      <c r="Q55" s="45">
        <f t="shared" si="20"/>
        <v>4.7261248852157944</v>
      </c>
    </row>
    <row r="56" spans="1:26" ht="13.5" customHeight="1">
      <c r="A56" s="8">
        <v>500</v>
      </c>
      <c r="B56" s="45" t="str">
        <f t="shared" ref="B56:Q56" si="21">IF(B31="","",(((B$36*Per_OS)*SQFT_Acre)+($A56*med_unit))/SQFT_Acre)</f>
        <v/>
      </c>
      <c r="C56" s="45" t="str">
        <f t="shared" si="21"/>
        <v/>
      </c>
      <c r="D56" s="45" t="str">
        <f t="shared" si="21"/>
        <v/>
      </c>
      <c r="E56" s="45" t="str">
        <f t="shared" si="21"/>
        <v/>
      </c>
      <c r="F56" s="45" t="str">
        <f t="shared" si="21"/>
        <v/>
      </c>
      <c r="G56" s="45" t="str">
        <f t="shared" si="21"/>
        <v/>
      </c>
      <c r="H56" s="45" t="str">
        <f t="shared" si="21"/>
        <v/>
      </c>
      <c r="I56" s="45" t="str">
        <f t="shared" si="21"/>
        <v/>
      </c>
      <c r="J56" s="45">
        <f t="shared" si="21"/>
        <v>4.169605142332415</v>
      </c>
      <c r="K56" s="45">
        <f t="shared" si="21"/>
        <v>4.2696051423324146</v>
      </c>
      <c r="L56" s="45">
        <f t="shared" si="21"/>
        <v>4.3696051423324151</v>
      </c>
      <c r="M56" s="45">
        <f t="shared" si="21"/>
        <v>4.4696051423324148</v>
      </c>
      <c r="N56" s="45">
        <f t="shared" si="21"/>
        <v>4.5696051423324153</v>
      </c>
      <c r="O56" s="45">
        <f t="shared" si="21"/>
        <v>4.669605142332415</v>
      </c>
      <c r="P56" s="45">
        <f t="shared" si="21"/>
        <v>4.7696051423324146</v>
      </c>
      <c r="Q56" s="45">
        <f t="shared" si="21"/>
        <v>4.8696051423324151</v>
      </c>
    </row>
    <row r="57" spans="1:26" ht="49.5" customHeight="1">
      <c r="A57" s="146" t="s">
        <v>106</v>
      </c>
      <c r="B57" s="146"/>
      <c r="C57" s="146"/>
      <c r="D57" s="146"/>
      <c r="E57" s="146"/>
      <c r="F57" s="146"/>
      <c r="G57" s="146"/>
      <c r="H57" s="146"/>
      <c r="I57" s="146"/>
      <c r="J57" s="146"/>
      <c r="K57" s="146"/>
      <c r="L57" s="146"/>
      <c r="M57" s="146"/>
      <c r="N57" s="146"/>
      <c r="O57" s="146"/>
      <c r="P57" s="146"/>
      <c r="Q57" s="146"/>
    </row>
    <row r="58" spans="1:26" ht="241.5" customHeight="1"/>
    <row r="59" spans="1:26" ht="19.5" customHeight="1">
      <c r="A59" s="144" t="s">
        <v>41</v>
      </c>
      <c r="B59" s="144"/>
      <c r="C59" s="144"/>
      <c r="D59" s="144"/>
      <c r="E59" s="144"/>
      <c r="F59" s="144"/>
      <c r="G59" s="144"/>
      <c r="H59" s="144"/>
      <c r="I59" s="144"/>
      <c r="J59" s="144"/>
      <c r="K59" s="144"/>
      <c r="L59" s="144"/>
      <c r="M59" s="144"/>
      <c r="N59" s="144"/>
      <c r="O59" s="144"/>
      <c r="P59" s="144"/>
      <c r="Q59" s="144"/>
    </row>
    <row r="60" spans="1:26" ht="91.5" customHeight="1">
      <c r="A60" s="146" t="s">
        <v>107</v>
      </c>
      <c r="B60" s="146"/>
      <c r="C60" s="146"/>
      <c r="D60" s="146"/>
      <c r="E60" s="146"/>
      <c r="F60" s="146"/>
      <c r="G60" s="146"/>
      <c r="H60" s="146"/>
      <c r="I60" s="146"/>
      <c r="J60" s="146"/>
      <c r="K60" s="146"/>
      <c r="L60" s="146"/>
      <c r="M60" s="146"/>
      <c r="N60" s="146"/>
      <c r="O60" s="146"/>
      <c r="P60" s="146"/>
      <c r="Q60" s="146"/>
      <c r="R60" s="13"/>
      <c r="S60" s="13"/>
      <c r="T60" s="13"/>
      <c r="U60" s="13"/>
      <c r="V60" s="13"/>
      <c r="W60" s="13"/>
      <c r="X60" s="13"/>
      <c r="Y60" s="13"/>
      <c r="Z60" s="13"/>
    </row>
    <row r="61" spans="1:26">
      <c r="A61" s="50"/>
      <c r="B61" s="43" t="s">
        <v>35</v>
      </c>
      <c r="C61" s="43"/>
      <c r="D61" s="43"/>
      <c r="E61" s="43"/>
      <c r="F61" s="43"/>
      <c r="G61" s="43"/>
      <c r="H61" s="43"/>
      <c r="I61" s="43"/>
      <c r="J61" s="43"/>
      <c r="K61" s="43"/>
      <c r="L61" s="43"/>
      <c r="M61" s="43"/>
      <c r="N61" s="43"/>
      <c r="O61" s="43"/>
      <c r="P61" s="43"/>
      <c r="Q61" s="43"/>
      <c r="R61" s="13"/>
      <c r="S61" s="13"/>
      <c r="T61" s="13"/>
      <c r="U61" s="13"/>
      <c r="V61" s="13"/>
      <c r="W61" s="13"/>
      <c r="X61" s="13"/>
      <c r="Y61" s="13"/>
      <c r="Z61" s="13"/>
    </row>
    <row r="62" spans="1:26" s="52" customFormat="1" ht="16.5" customHeight="1">
      <c r="A62" s="52" t="s">
        <v>1</v>
      </c>
      <c r="B62" s="57" t="s">
        <v>19</v>
      </c>
      <c r="C62" s="57" t="s">
        <v>20</v>
      </c>
      <c r="D62" s="57" t="s">
        <v>21</v>
      </c>
      <c r="E62" s="57" t="s">
        <v>22</v>
      </c>
      <c r="F62" s="57" t="s">
        <v>23</v>
      </c>
      <c r="G62" s="57" t="s">
        <v>24</v>
      </c>
      <c r="H62" s="57" t="s">
        <v>25</v>
      </c>
      <c r="I62" s="57" t="s">
        <v>26</v>
      </c>
      <c r="J62" s="57" t="s">
        <v>27</v>
      </c>
      <c r="K62" s="57" t="s">
        <v>28</v>
      </c>
      <c r="L62" s="57" t="s">
        <v>29</v>
      </c>
      <c r="M62" s="57" t="s">
        <v>30</v>
      </c>
      <c r="N62" s="57" t="s">
        <v>31</v>
      </c>
      <c r="O62" s="57" t="s">
        <v>32</v>
      </c>
      <c r="P62" s="57" t="s">
        <v>33</v>
      </c>
      <c r="Q62" s="57" t="s">
        <v>34</v>
      </c>
      <c r="R62" s="58"/>
      <c r="S62" s="58"/>
      <c r="T62" s="58"/>
      <c r="U62" s="58"/>
      <c r="V62" s="58"/>
      <c r="W62" s="58"/>
      <c r="X62" s="58"/>
      <c r="Y62" s="58"/>
      <c r="Z62" s="58"/>
    </row>
    <row r="63" spans="1:26" ht="13.5" customHeight="1">
      <c r="A63" s="2">
        <v>25</v>
      </c>
      <c r="B63" s="46" t="str">
        <f t="shared" ref="B63:Q63" si="22">IF(B12="","",(B37*SQFT_Acre)/$A63)</f>
        <v/>
      </c>
      <c r="C63" s="46" t="str">
        <f t="shared" si="22"/>
        <v/>
      </c>
      <c r="D63" s="46" t="str">
        <f t="shared" si="22"/>
        <v/>
      </c>
      <c r="E63" s="46" t="str">
        <f t="shared" si="22"/>
        <v/>
      </c>
      <c r="F63" s="46" t="str">
        <f t="shared" si="22"/>
        <v/>
      </c>
      <c r="G63" s="46" t="str">
        <f t="shared" si="22"/>
        <v/>
      </c>
      <c r="H63" s="46" t="str">
        <f t="shared" si="22"/>
        <v/>
      </c>
      <c r="I63" s="46" t="str">
        <f t="shared" si="22"/>
        <v/>
      </c>
      <c r="J63" s="46" t="str">
        <f t="shared" si="22"/>
        <v/>
      </c>
      <c r="K63" s="46" t="str">
        <f t="shared" si="22"/>
        <v/>
      </c>
      <c r="L63" s="46" t="str">
        <f t="shared" si="22"/>
        <v/>
      </c>
      <c r="M63" s="46" t="str">
        <f t="shared" si="22"/>
        <v/>
      </c>
      <c r="N63" s="46" t="str">
        <f t="shared" si="22"/>
        <v/>
      </c>
      <c r="O63" s="46" t="str">
        <f t="shared" si="22"/>
        <v/>
      </c>
      <c r="P63" s="46" t="str">
        <f t="shared" si="22"/>
        <v/>
      </c>
      <c r="Q63" s="46" t="str">
        <f t="shared" si="22"/>
        <v/>
      </c>
    </row>
    <row r="64" spans="1:26" ht="13.5" customHeight="1">
      <c r="A64" s="2">
        <v>50</v>
      </c>
      <c r="B64" s="46">
        <f t="shared" ref="B64:Q64" si="23">IF(B13="","",(B38*SQFT_Acre)/$A64)</f>
        <v>685.6</v>
      </c>
      <c r="C64" s="46">
        <f t="shared" si="23"/>
        <v>772.72</v>
      </c>
      <c r="D64" s="46" t="str">
        <f t="shared" si="23"/>
        <v/>
      </c>
      <c r="E64" s="46" t="str">
        <f t="shared" si="23"/>
        <v/>
      </c>
      <c r="F64" s="46" t="str">
        <f t="shared" si="23"/>
        <v/>
      </c>
      <c r="G64" s="46" t="str">
        <f t="shared" si="23"/>
        <v/>
      </c>
      <c r="H64" s="46" t="str">
        <f t="shared" si="23"/>
        <v/>
      </c>
      <c r="I64" s="46" t="str">
        <f t="shared" si="23"/>
        <v/>
      </c>
      <c r="J64" s="46" t="str">
        <f t="shared" si="23"/>
        <v/>
      </c>
      <c r="K64" s="46" t="str">
        <f t="shared" si="23"/>
        <v/>
      </c>
      <c r="L64" s="46" t="str">
        <f t="shared" si="23"/>
        <v/>
      </c>
      <c r="M64" s="46" t="str">
        <f t="shared" si="23"/>
        <v/>
      </c>
      <c r="N64" s="46" t="str">
        <f t="shared" si="23"/>
        <v/>
      </c>
      <c r="O64" s="46" t="str">
        <f t="shared" si="23"/>
        <v/>
      </c>
      <c r="P64" s="46" t="str">
        <f t="shared" si="23"/>
        <v/>
      </c>
      <c r="Q64" s="46" t="str">
        <f t="shared" si="23"/>
        <v/>
      </c>
    </row>
    <row r="65" spans="1:17" ht="13.5" customHeight="1">
      <c r="A65" s="2">
        <v>75</v>
      </c>
      <c r="B65" s="46">
        <f t="shared" ref="B65:Q65" si="24">IF(B14="","",(B39*SQFT_Acre)/$A65)</f>
        <v>540.4</v>
      </c>
      <c r="C65" s="46">
        <f t="shared" si="24"/>
        <v>598.48</v>
      </c>
      <c r="D65" s="46">
        <f t="shared" si="24"/>
        <v>656.56</v>
      </c>
      <c r="E65" s="46">
        <f t="shared" si="24"/>
        <v>714.64</v>
      </c>
      <c r="F65" s="46">
        <f t="shared" si="24"/>
        <v>772.72</v>
      </c>
      <c r="G65" s="46" t="str">
        <f t="shared" si="24"/>
        <v/>
      </c>
      <c r="H65" s="46" t="str">
        <f t="shared" si="24"/>
        <v/>
      </c>
      <c r="I65" s="46" t="str">
        <f t="shared" si="24"/>
        <v/>
      </c>
      <c r="J65" s="46" t="str">
        <f t="shared" si="24"/>
        <v/>
      </c>
      <c r="K65" s="46" t="str">
        <f t="shared" si="24"/>
        <v/>
      </c>
      <c r="L65" s="46" t="str">
        <f t="shared" si="24"/>
        <v/>
      </c>
      <c r="M65" s="46" t="str">
        <f t="shared" si="24"/>
        <v/>
      </c>
      <c r="N65" s="46" t="str">
        <f t="shared" si="24"/>
        <v/>
      </c>
      <c r="O65" s="46" t="str">
        <f t="shared" si="24"/>
        <v/>
      </c>
      <c r="P65" s="46" t="str">
        <f t="shared" si="24"/>
        <v/>
      </c>
      <c r="Q65" s="46" t="str">
        <f t="shared" si="24"/>
        <v/>
      </c>
    </row>
    <row r="66" spans="1:17" ht="13.5" customHeight="1">
      <c r="A66" s="2">
        <v>100</v>
      </c>
      <c r="B66" s="46">
        <f t="shared" ref="B66:Q66" si="25">IF(B15="","",(B40*SQFT_Acre)/$A66)</f>
        <v>467.8</v>
      </c>
      <c r="C66" s="46">
        <f t="shared" si="25"/>
        <v>511.36</v>
      </c>
      <c r="D66" s="46">
        <f t="shared" si="25"/>
        <v>554.91999999999996</v>
      </c>
      <c r="E66" s="46">
        <f t="shared" si="25"/>
        <v>598.48</v>
      </c>
      <c r="F66" s="46">
        <f t="shared" si="25"/>
        <v>642.04</v>
      </c>
      <c r="G66" s="46">
        <f t="shared" si="25"/>
        <v>685.6</v>
      </c>
      <c r="H66" s="46">
        <f t="shared" si="25"/>
        <v>729.16</v>
      </c>
      <c r="I66" s="46">
        <f t="shared" si="25"/>
        <v>772.72</v>
      </c>
      <c r="J66" s="46" t="str">
        <f t="shared" si="25"/>
        <v/>
      </c>
      <c r="K66" s="46" t="str">
        <f t="shared" si="25"/>
        <v/>
      </c>
      <c r="L66" s="46" t="str">
        <f t="shared" si="25"/>
        <v/>
      </c>
      <c r="M66" s="46" t="str">
        <f t="shared" si="25"/>
        <v/>
      </c>
      <c r="N66" s="46" t="str">
        <f t="shared" si="25"/>
        <v/>
      </c>
      <c r="O66" s="46" t="str">
        <f t="shared" si="25"/>
        <v/>
      </c>
      <c r="P66" s="46" t="str">
        <f t="shared" si="25"/>
        <v/>
      </c>
      <c r="Q66" s="46" t="str">
        <f t="shared" si="25"/>
        <v/>
      </c>
    </row>
    <row r="67" spans="1:17" ht="13.5" customHeight="1">
      <c r="A67" s="2">
        <v>125</v>
      </c>
      <c r="B67" s="46">
        <f t="shared" ref="B67:Q67" si="26">IF(B16="","",(B41*SQFT_Acre)/$A67)</f>
        <v>424.24</v>
      </c>
      <c r="C67" s="46">
        <f t="shared" si="26"/>
        <v>459.08799999999997</v>
      </c>
      <c r="D67" s="46">
        <f t="shared" si="26"/>
        <v>493.93599999999998</v>
      </c>
      <c r="E67" s="46">
        <f t="shared" si="26"/>
        <v>528.78399999999999</v>
      </c>
      <c r="F67" s="46">
        <f t="shared" si="26"/>
        <v>563.63199999999995</v>
      </c>
      <c r="G67" s="46">
        <f t="shared" si="26"/>
        <v>598.48</v>
      </c>
      <c r="H67" s="46">
        <f t="shared" si="26"/>
        <v>633.32799999999997</v>
      </c>
      <c r="I67" s="46">
        <f t="shared" si="26"/>
        <v>668.17600000000004</v>
      </c>
      <c r="J67" s="46">
        <f t="shared" si="26"/>
        <v>703.024</v>
      </c>
      <c r="K67" s="46">
        <f t="shared" si="26"/>
        <v>737.87199999999996</v>
      </c>
      <c r="L67" s="46">
        <f t="shared" si="26"/>
        <v>772.71999999999991</v>
      </c>
      <c r="M67" s="46" t="str">
        <f t="shared" si="26"/>
        <v/>
      </c>
      <c r="N67" s="46" t="str">
        <f t="shared" si="26"/>
        <v/>
      </c>
      <c r="O67" s="46" t="str">
        <f t="shared" si="26"/>
        <v/>
      </c>
      <c r="P67" s="46" t="str">
        <f t="shared" si="26"/>
        <v/>
      </c>
      <c r="Q67" s="46" t="str">
        <f t="shared" si="26"/>
        <v/>
      </c>
    </row>
    <row r="68" spans="1:17" ht="13.5" customHeight="1">
      <c r="A68" s="2">
        <v>150</v>
      </c>
      <c r="B68" s="46">
        <f t="shared" ref="B68:Q68" si="27">IF(B17="","",(B42*SQFT_Acre)/$A68)</f>
        <v>395.2</v>
      </c>
      <c r="C68" s="46">
        <f t="shared" si="27"/>
        <v>424.24</v>
      </c>
      <c r="D68" s="46">
        <f t="shared" si="27"/>
        <v>453.28</v>
      </c>
      <c r="E68" s="46">
        <f t="shared" si="27"/>
        <v>482.32</v>
      </c>
      <c r="F68" s="46">
        <f t="shared" si="27"/>
        <v>511.36</v>
      </c>
      <c r="G68" s="46">
        <f t="shared" si="27"/>
        <v>540.4</v>
      </c>
      <c r="H68" s="46">
        <f t="shared" si="27"/>
        <v>569.44000000000005</v>
      </c>
      <c r="I68" s="46">
        <f t="shared" si="27"/>
        <v>598.48</v>
      </c>
      <c r="J68" s="46">
        <f t="shared" si="27"/>
        <v>627.52</v>
      </c>
      <c r="K68" s="46">
        <f t="shared" si="27"/>
        <v>656.56</v>
      </c>
      <c r="L68" s="46">
        <f t="shared" si="27"/>
        <v>685.60000000000014</v>
      </c>
      <c r="M68" s="46">
        <f t="shared" si="27"/>
        <v>714.64</v>
      </c>
      <c r="N68" s="46">
        <f t="shared" si="27"/>
        <v>743.68000000000006</v>
      </c>
      <c r="O68" s="46">
        <f t="shared" si="27"/>
        <v>772.72</v>
      </c>
      <c r="P68" s="46" t="str">
        <f t="shared" si="27"/>
        <v/>
      </c>
      <c r="Q68" s="46" t="str">
        <f t="shared" si="27"/>
        <v/>
      </c>
    </row>
    <row r="69" spans="1:17" ht="13.5" customHeight="1">
      <c r="A69" s="2">
        <v>175</v>
      </c>
      <c r="B69" s="46">
        <f t="shared" ref="B69:Q69" si="28">IF(B18="","",(B43*SQFT_Acre)/$A69)</f>
        <v>374.45714285714286</v>
      </c>
      <c r="C69" s="46">
        <f t="shared" si="28"/>
        <v>399.3485714285714</v>
      </c>
      <c r="D69" s="46">
        <f t="shared" si="28"/>
        <v>424.24</v>
      </c>
      <c r="E69" s="46">
        <f t="shared" si="28"/>
        <v>449.13142857142856</v>
      </c>
      <c r="F69" s="46">
        <f t="shared" si="28"/>
        <v>474.02285714285716</v>
      </c>
      <c r="G69" s="46">
        <f t="shared" si="28"/>
        <v>498.91428571428571</v>
      </c>
      <c r="H69" s="46">
        <f t="shared" si="28"/>
        <v>523.8057142857142</v>
      </c>
      <c r="I69" s="46">
        <f t="shared" si="28"/>
        <v>548.69714285714281</v>
      </c>
      <c r="J69" s="46">
        <f t="shared" si="28"/>
        <v>573.58857142857141</v>
      </c>
      <c r="K69" s="46">
        <f t="shared" si="28"/>
        <v>598.48</v>
      </c>
      <c r="L69" s="46">
        <f t="shared" si="28"/>
        <v>623.37142857142862</v>
      </c>
      <c r="M69" s="46">
        <f t="shared" si="28"/>
        <v>648.26285714285711</v>
      </c>
      <c r="N69" s="46">
        <f t="shared" si="28"/>
        <v>673.15428571428583</v>
      </c>
      <c r="O69" s="46">
        <f t="shared" si="28"/>
        <v>698.04571428571433</v>
      </c>
      <c r="P69" s="46">
        <f t="shared" si="28"/>
        <v>722.93714285714282</v>
      </c>
      <c r="Q69" s="46">
        <f t="shared" si="28"/>
        <v>747.82857142857142</v>
      </c>
    </row>
    <row r="70" spans="1:17" ht="13.5" customHeight="1">
      <c r="A70" s="2">
        <v>200</v>
      </c>
      <c r="B70" s="46" t="str">
        <f t="shared" ref="B70:Q70" si="29">IF(B19="","",(B44*SQFT_Acre)/$A70)</f>
        <v/>
      </c>
      <c r="C70" s="46">
        <f t="shared" si="29"/>
        <v>380.68</v>
      </c>
      <c r="D70" s="46">
        <f t="shared" si="29"/>
        <v>402.46</v>
      </c>
      <c r="E70" s="46">
        <f t="shared" si="29"/>
        <v>424.24</v>
      </c>
      <c r="F70" s="46">
        <f t="shared" si="29"/>
        <v>446.02</v>
      </c>
      <c r="G70" s="46">
        <f t="shared" si="29"/>
        <v>467.8</v>
      </c>
      <c r="H70" s="46">
        <f t="shared" si="29"/>
        <v>489.5800000000001</v>
      </c>
      <c r="I70" s="46">
        <f t="shared" si="29"/>
        <v>511.36</v>
      </c>
      <c r="J70" s="46">
        <f t="shared" si="29"/>
        <v>533.14</v>
      </c>
      <c r="K70" s="46">
        <f t="shared" si="29"/>
        <v>554.91999999999996</v>
      </c>
      <c r="L70" s="46">
        <f t="shared" si="29"/>
        <v>576.70000000000005</v>
      </c>
      <c r="M70" s="46">
        <f t="shared" si="29"/>
        <v>598.48</v>
      </c>
      <c r="N70" s="46">
        <f t="shared" si="29"/>
        <v>620.2600000000001</v>
      </c>
      <c r="O70" s="46">
        <f t="shared" si="29"/>
        <v>642.04</v>
      </c>
      <c r="P70" s="46">
        <f t="shared" si="29"/>
        <v>663.82</v>
      </c>
      <c r="Q70" s="46">
        <f t="shared" si="29"/>
        <v>685.6</v>
      </c>
    </row>
    <row r="71" spans="1:17" ht="13.5" customHeight="1">
      <c r="A71" s="2">
        <v>225</v>
      </c>
      <c r="B71" s="46" t="str">
        <f t="shared" ref="B71:Q71" si="30">IF(B20="","",(B45*SQFT_Acre)/$A71)</f>
        <v/>
      </c>
      <c r="C71" s="46">
        <f t="shared" si="30"/>
        <v>366.16</v>
      </c>
      <c r="D71" s="46">
        <f t="shared" si="30"/>
        <v>385.52</v>
      </c>
      <c r="E71" s="46">
        <f t="shared" si="30"/>
        <v>404.88</v>
      </c>
      <c r="F71" s="46">
        <f t="shared" si="30"/>
        <v>424.24</v>
      </c>
      <c r="G71" s="46">
        <f t="shared" si="30"/>
        <v>443.6</v>
      </c>
      <c r="H71" s="46">
        <f t="shared" si="30"/>
        <v>462.96000000000004</v>
      </c>
      <c r="I71" s="46">
        <f t="shared" si="30"/>
        <v>482.31999999999994</v>
      </c>
      <c r="J71" s="46">
        <f t="shared" si="30"/>
        <v>501.68</v>
      </c>
      <c r="K71" s="46">
        <f t="shared" si="30"/>
        <v>521.04</v>
      </c>
      <c r="L71" s="46">
        <f t="shared" si="30"/>
        <v>540.4</v>
      </c>
      <c r="M71" s="46">
        <f t="shared" si="30"/>
        <v>559.7600000000001</v>
      </c>
      <c r="N71" s="46">
        <f t="shared" si="30"/>
        <v>579.12000000000012</v>
      </c>
      <c r="O71" s="46">
        <f t="shared" si="30"/>
        <v>598.48</v>
      </c>
      <c r="P71" s="46">
        <f t="shared" si="30"/>
        <v>617.84</v>
      </c>
      <c r="Q71" s="46">
        <f t="shared" si="30"/>
        <v>637.20000000000005</v>
      </c>
    </row>
    <row r="72" spans="1:17" ht="13.5" customHeight="1">
      <c r="A72" s="2">
        <v>250</v>
      </c>
      <c r="B72" s="46" t="str">
        <f t="shared" ref="B72:Q72" si="31">IF(B21="","",(B46*SQFT_Acre)/$A72)</f>
        <v/>
      </c>
      <c r="C72" s="46" t="str">
        <f t="shared" si="31"/>
        <v/>
      </c>
      <c r="D72" s="46">
        <f t="shared" si="31"/>
        <v>371.96799999999996</v>
      </c>
      <c r="E72" s="46">
        <f t="shared" si="31"/>
        <v>389.392</v>
      </c>
      <c r="F72" s="46">
        <f t="shared" si="31"/>
        <v>406.81599999999997</v>
      </c>
      <c r="G72" s="46">
        <f t="shared" si="31"/>
        <v>424.24</v>
      </c>
      <c r="H72" s="46">
        <f t="shared" si="31"/>
        <v>441.66399999999999</v>
      </c>
      <c r="I72" s="46">
        <f t="shared" si="31"/>
        <v>459.08799999999997</v>
      </c>
      <c r="J72" s="46">
        <f t="shared" si="31"/>
        <v>476.512</v>
      </c>
      <c r="K72" s="46">
        <f t="shared" si="31"/>
        <v>493.93599999999998</v>
      </c>
      <c r="L72" s="46">
        <f t="shared" si="31"/>
        <v>511.36</v>
      </c>
      <c r="M72" s="46">
        <f t="shared" si="31"/>
        <v>528.78399999999999</v>
      </c>
      <c r="N72" s="46">
        <f t="shared" si="31"/>
        <v>546.20799999999997</v>
      </c>
      <c r="O72" s="46">
        <f t="shared" si="31"/>
        <v>563.63199999999995</v>
      </c>
      <c r="P72" s="46">
        <f t="shared" si="31"/>
        <v>581.05600000000004</v>
      </c>
      <c r="Q72" s="46">
        <f t="shared" si="31"/>
        <v>598.48</v>
      </c>
    </row>
    <row r="73" spans="1:17" ht="13.5" customHeight="1">
      <c r="A73" s="2">
        <v>275</v>
      </c>
      <c r="B73" s="46" t="str">
        <f t="shared" ref="B73:Q73" si="32">IF(B22="","",(B47*SQFT_Acre)/$A73)</f>
        <v/>
      </c>
      <c r="C73" s="46" t="str">
        <f t="shared" si="32"/>
        <v/>
      </c>
      <c r="D73" s="46">
        <f t="shared" si="32"/>
        <v>360.88000000000005</v>
      </c>
      <c r="E73" s="46">
        <f t="shared" si="32"/>
        <v>376.71999999999997</v>
      </c>
      <c r="F73" s="46">
        <f t="shared" si="32"/>
        <v>392.56</v>
      </c>
      <c r="G73" s="46">
        <f t="shared" si="32"/>
        <v>408.4</v>
      </c>
      <c r="H73" s="46">
        <f t="shared" si="32"/>
        <v>424.24</v>
      </c>
      <c r="I73" s="46">
        <f t="shared" si="32"/>
        <v>440.08000000000004</v>
      </c>
      <c r="J73" s="46">
        <f t="shared" si="32"/>
        <v>455.91999999999996</v>
      </c>
      <c r="K73" s="46">
        <f t="shared" si="32"/>
        <v>471.76</v>
      </c>
      <c r="L73" s="46">
        <f t="shared" si="32"/>
        <v>487.6</v>
      </c>
      <c r="M73" s="46">
        <f t="shared" si="32"/>
        <v>503.44</v>
      </c>
      <c r="N73" s="46">
        <f t="shared" si="32"/>
        <v>519.28</v>
      </c>
      <c r="O73" s="46">
        <f t="shared" si="32"/>
        <v>535.12</v>
      </c>
      <c r="P73" s="46">
        <f t="shared" si="32"/>
        <v>550.96</v>
      </c>
      <c r="Q73" s="46">
        <f t="shared" si="32"/>
        <v>566.79999999999995</v>
      </c>
    </row>
    <row r="74" spans="1:17" ht="13.5" customHeight="1">
      <c r="A74" s="2">
        <v>300</v>
      </c>
      <c r="B74" s="46" t="str">
        <f t="shared" ref="B74:Q74" si="33">IF(B23="","",(B48*SQFT_Acre)/$A74)</f>
        <v/>
      </c>
      <c r="C74" s="46" t="str">
        <f t="shared" si="33"/>
        <v/>
      </c>
      <c r="D74" s="46" t="str">
        <f t="shared" si="33"/>
        <v/>
      </c>
      <c r="E74" s="46">
        <f t="shared" si="33"/>
        <v>366.15999999999997</v>
      </c>
      <c r="F74" s="46">
        <f t="shared" si="33"/>
        <v>380.68</v>
      </c>
      <c r="G74" s="46">
        <f t="shared" si="33"/>
        <v>395.2</v>
      </c>
      <c r="H74" s="46">
        <f t="shared" si="33"/>
        <v>409.72</v>
      </c>
      <c r="I74" s="46">
        <f t="shared" si="33"/>
        <v>424.24</v>
      </c>
      <c r="J74" s="46">
        <f t="shared" si="33"/>
        <v>438.76</v>
      </c>
      <c r="K74" s="46">
        <f t="shared" si="33"/>
        <v>453.28</v>
      </c>
      <c r="L74" s="46">
        <f t="shared" si="33"/>
        <v>467.8</v>
      </c>
      <c r="M74" s="46">
        <f t="shared" si="33"/>
        <v>482.32</v>
      </c>
      <c r="N74" s="46">
        <f t="shared" si="33"/>
        <v>496.84</v>
      </c>
      <c r="O74" s="46">
        <f t="shared" si="33"/>
        <v>511.36</v>
      </c>
      <c r="P74" s="46">
        <f t="shared" si="33"/>
        <v>525.88</v>
      </c>
      <c r="Q74" s="46">
        <f t="shared" si="33"/>
        <v>540.4</v>
      </c>
    </row>
    <row r="75" spans="1:17" ht="13.5" customHeight="1">
      <c r="A75" s="2">
        <v>325</v>
      </c>
      <c r="B75" s="46" t="str">
        <f t="shared" ref="B75:Q75" si="34">IF(B24="","",(B49*SQFT_Acre)/$A75)</f>
        <v/>
      </c>
      <c r="C75" s="46" t="str">
        <f t="shared" si="34"/>
        <v/>
      </c>
      <c r="D75" s="46" t="str">
        <f t="shared" si="34"/>
        <v/>
      </c>
      <c r="E75" s="46" t="str">
        <f t="shared" si="34"/>
        <v/>
      </c>
      <c r="F75" s="46">
        <f t="shared" si="34"/>
        <v>370.62769230769231</v>
      </c>
      <c r="G75" s="46">
        <f t="shared" si="34"/>
        <v>384.03076923076924</v>
      </c>
      <c r="H75" s="46">
        <f t="shared" si="34"/>
        <v>397.43384615384616</v>
      </c>
      <c r="I75" s="46">
        <f t="shared" si="34"/>
        <v>410.83692307692309</v>
      </c>
      <c r="J75" s="46">
        <f t="shared" si="34"/>
        <v>424.24</v>
      </c>
      <c r="K75" s="46">
        <f t="shared" si="34"/>
        <v>437.64307692307693</v>
      </c>
      <c r="L75" s="46">
        <f t="shared" si="34"/>
        <v>451.04615384615386</v>
      </c>
      <c r="M75" s="46">
        <f t="shared" si="34"/>
        <v>464.44923076923078</v>
      </c>
      <c r="N75" s="46">
        <f t="shared" si="34"/>
        <v>477.8523076923077</v>
      </c>
      <c r="O75" s="46">
        <f t="shared" si="34"/>
        <v>491.25538461538463</v>
      </c>
      <c r="P75" s="46">
        <f t="shared" si="34"/>
        <v>504.65846153846155</v>
      </c>
      <c r="Q75" s="46">
        <f t="shared" si="34"/>
        <v>518.06153846153848</v>
      </c>
    </row>
    <row r="76" spans="1:17" ht="13.5" customHeight="1">
      <c r="A76" s="2">
        <v>350</v>
      </c>
      <c r="B76" s="46" t="str">
        <f t="shared" ref="B76:Q76" si="35">IF(B25="","",(B50*SQFT_Acre)/$A76)</f>
        <v/>
      </c>
      <c r="C76" s="46" t="str">
        <f t="shared" si="35"/>
        <v/>
      </c>
      <c r="D76" s="46" t="str">
        <f t="shared" si="35"/>
        <v/>
      </c>
      <c r="E76" s="46" t="str">
        <f t="shared" si="35"/>
        <v/>
      </c>
      <c r="F76" s="46">
        <f t="shared" si="35"/>
        <v>362.01142857142855</v>
      </c>
      <c r="G76" s="46">
        <f t="shared" si="35"/>
        <v>374.45714285714286</v>
      </c>
      <c r="H76" s="46">
        <f t="shared" si="35"/>
        <v>386.90285714285716</v>
      </c>
      <c r="I76" s="46">
        <f t="shared" si="35"/>
        <v>399.3485714285714</v>
      </c>
      <c r="J76" s="46">
        <f t="shared" si="35"/>
        <v>411.79428571428571</v>
      </c>
      <c r="K76" s="46">
        <f t="shared" si="35"/>
        <v>424.24</v>
      </c>
      <c r="L76" s="46">
        <f t="shared" si="35"/>
        <v>436.68571428571431</v>
      </c>
      <c r="M76" s="46">
        <f t="shared" si="35"/>
        <v>449.13142857142856</v>
      </c>
      <c r="N76" s="46">
        <f t="shared" si="35"/>
        <v>461.57714285714286</v>
      </c>
      <c r="O76" s="46">
        <f t="shared" si="35"/>
        <v>474.02285714285716</v>
      </c>
      <c r="P76" s="46">
        <f t="shared" si="35"/>
        <v>486.46857142857141</v>
      </c>
      <c r="Q76" s="46">
        <f t="shared" si="35"/>
        <v>498.91428571428571</v>
      </c>
    </row>
    <row r="77" spans="1:17" ht="13.5" customHeight="1">
      <c r="A77" s="2">
        <v>375</v>
      </c>
      <c r="B77" s="46" t="str">
        <f t="shared" ref="B77:Q77" si="36">IF(B26="","",(B51*SQFT_Acre)/$A77)</f>
        <v/>
      </c>
      <c r="C77" s="46" t="str">
        <f t="shared" si="36"/>
        <v/>
      </c>
      <c r="D77" s="46" t="str">
        <f t="shared" si="36"/>
        <v/>
      </c>
      <c r="E77" s="46" t="str">
        <f t="shared" si="36"/>
        <v/>
      </c>
      <c r="F77" s="46" t="str">
        <f t="shared" si="36"/>
        <v/>
      </c>
      <c r="G77" s="46">
        <f t="shared" si="36"/>
        <v>366.16</v>
      </c>
      <c r="H77" s="46">
        <f t="shared" si="36"/>
        <v>377.77600000000001</v>
      </c>
      <c r="I77" s="46">
        <f t="shared" si="36"/>
        <v>389.392</v>
      </c>
      <c r="J77" s="46">
        <f t="shared" si="36"/>
        <v>401.00799999999998</v>
      </c>
      <c r="K77" s="46">
        <f t="shared" si="36"/>
        <v>412.62400000000002</v>
      </c>
      <c r="L77" s="46">
        <f t="shared" si="36"/>
        <v>424.24</v>
      </c>
      <c r="M77" s="46">
        <f t="shared" si="36"/>
        <v>435.85599999999999</v>
      </c>
      <c r="N77" s="46">
        <f t="shared" si="36"/>
        <v>447.47199999999998</v>
      </c>
      <c r="O77" s="46">
        <f t="shared" si="36"/>
        <v>459.08800000000002</v>
      </c>
      <c r="P77" s="46">
        <f t="shared" si="36"/>
        <v>470.70400000000001</v>
      </c>
      <c r="Q77" s="46">
        <f t="shared" si="36"/>
        <v>482.32</v>
      </c>
    </row>
    <row r="78" spans="1:17" ht="13.5" customHeight="1">
      <c r="A78" s="2">
        <v>400</v>
      </c>
      <c r="B78" s="46" t="str">
        <f t="shared" ref="B78:Q78" si="37">IF(B27="","",(B52*SQFT_Acre)/$A78)</f>
        <v/>
      </c>
      <c r="C78" s="46" t="str">
        <f t="shared" si="37"/>
        <v/>
      </c>
      <c r="D78" s="46" t="str">
        <f t="shared" si="37"/>
        <v/>
      </c>
      <c r="E78" s="46" t="str">
        <f t="shared" si="37"/>
        <v/>
      </c>
      <c r="F78" s="46" t="str">
        <f t="shared" si="37"/>
        <v/>
      </c>
      <c r="G78" s="46" t="str">
        <f t="shared" si="37"/>
        <v/>
      </c>
      <c r="H78" s="46">
        <f t="shared" si="37"/>
        <v>369.79</v>
      </c>
      <c r="I78" s="46">
        <f t="shared" si="37"/>
        <v>380.68</v>
      </c>
      <c r="J78" s="46">
        <f t="shared" si="37"/>
        <v>391.57</v>
      </c>
      <c r="K78" s="46">
        <f t="shared" si="37"/>
        <v>402.46</v>
      </c>
      <c r="L78" s="46">
        <f t="shared" si="37"/>
        <v>413.35</v>
      </c>
      <c r="M78" s="46">
        <f t="shared" si="37"/>
        <v>424.24</v>
      </c>
      <c r="N78" s="46">
        <f t="shared" si="37"/>
        <v>435.13</v>
      </c>
      <c r="O78" s="46">
        <f t="shared" si="37"/>
        <v>446.02</v>
      </c>
      <c r="P78" s="46">
        <f t="shared" si="37"/>
        <v>456.91</v>
      </c>
      <c r="Q78" s="46">
        <f t="shared" si="37"/>
        <v>467.8</v>
      </c>
    </row>
    <row r="79" spans="1:17" ht="13.5" customHeight="1">
      <c r="A79" s="2">
        <v>425</v>
      </c>
      <c r="B79" s="46" t="str">
        <f t="shared" ref="B79:Q79" si="38">IF(B28="","",(B53*SQFT_Acre)/$A79)</f>
        <v/>
      </c>
      <c r="C79" s="46" t="str">
        <f t="shared" si="38"/>
        <v/>
      </c>
      <c r="D79" s="46" t="str">
        <f t="shared" si="38"/>
        <v/>
      </c>
      <c r="E79" s="46" t="str">
        <f t="shared" si="38"/>
        <v/>
      </c>
      <c r="F79" s="46" t="str">
        <f t="shared" si="38"/>
        <v/>
      </c>
      <c r="G79" s="46" t="str">
        <f t="shared" si="38"/>
        <v/>
      </c>
      <c r="H79" s="46">
        <f t="shared" si="38"/>
        <v>362.74352941176471</v>
      </c>
      <c r="I79" s="46">
        <f t="shared" si="38"/>
        <v>372.99294117647059</v>
      </c>
      <c r="J79" s="46">
        <f t="shared" si="38"/>
        <v>383.24235294117648</v>
      </c>
      <c r="K79" s="46">
        <f t="shared" si="38"/>
        <v>393.49176470588236</v>
      </c>
      <c r="L79" s="46">
        <f t="shared" si="38"/>
        <v>403.74117647058824</v>
      </c>
      <c r="M79" s="46">
        <f t="shared" si="38"/>
        <v>413.99058823529413</v>
      </c>
      <c r="N79" s="46">
        <f t="shared" si="38"/>
        <v>424.24000000000007</v>
      </c>
      <c r="O79" s="46">
        <f t="shared" si="38"/>
        <v>434.48941176470589</v>
      </c>
      <c r="P79" s="46">
        <f t="shared" si="38"/>
        <v>444.73882352941177</v>
      </c>
      <c r="Q79" s="46">
        <f t="shared" si="38"/>
        <v>454.98823529411766</v>
      </c>
    </row>
    <row r="80" spans="1:17" ht="13.5" customHeight="1">
      <c r="A80" s="2">
        <v>450</v>
      </c>
      <c r="B80" s="46" t="str">
        <f t="shared" ref="B80:Q80" si="39">IF(B29="","",(B54*SQFT_Acre)/$A80)</f>
        <v/>
      </c>
      <c r="C80" s="46" t="str">
        <f t="shared" si="39"/>
        <v/>
      </c>
      <c r="D80" s="46" t="str">
        <f t="shared" si="39"/>
        <v/>
      </c>
      <c r="E80" s="46" t="str">
        <f t="shared" si="39"/>
        <v/>
      </c>
      <c r="F80" s="46" t="str">
        <f t="shared" si="39"/>
        <v/>
      </c>
      <c r="G80" s="46" t="str">
        <f t="shared" si="39"/>
        <v/>
      </c>
      <c r="H80" s="46" t="str">
        <f t="shared" si="39"/>
        <v/>
      </c>
      <c r="I80" s="46">
        <f t="shared" si="39"/>
        <v>366.16</v>
      </c>
      <c r="J80" s="46">
        <f t="shared" si="39"/>
        <v>375.84</v>
      </c>
      <c r="K80" s="46">
        <f t="shared" si="39"/>
        <v>385.52</v>
      </c>
      <c r="L80" s="46">
        <f t="shared" si="39"/>
        <v>395.2</v>
      </c>
      <c r="M80" s="46">
        <f t="shared" si="39"/>
        <v>404.88</v>
      </c>
      <c r="N80" s="46">
        <f t="shared" si="39"/>
        <v>414.56000000000006</v>
      </c>
      <c r="O80" s="46">
        <f t="shared" si="39"/>
        <v>424.24</v>
      </c>
      <c r="P80" s="46">
        <f t="shared" si="39"/>
        <v>433.91999999999996</v>
      </c>
      <c r="Q80" s="46">
        <f t="shared" si="39"/>
        <v>443.6</v>
      </c>
    </row>
    <row r="81" spans="1:26" ht="13.5" customHeight="1">
      <c r="A81" s="2">
        <v>475</v>
      </c>
      <c r="B81" s="46" t="str">
        <f t="shared" ref="B81:Q81" si="40">IF(B30="","",(B55*SQFT_Acre)/$A81)</f>
        <v/>
      </c>
      <c r="C81" s="46" t="str">
        <f t="shared" si="40"/>
        <v/>
      </c>
      <c r="D81" s="46" t="str">
        <f t="shared" si="40"/>
        <v/>
      </c>
      <c r="E81" s="46" t="str">
        <f t="shared" si="40"/>
        <v/>
      </c>
      <c r="F81" s="46" t="str">
        <f t="shared" si="40"/>
        <v/>
      </c>
      <c r="G81" s="46" t="str">
        <f t="shared" si="40"/>
        <v/>
      </c>
      <c r="H81" s="46" t="str">
        <f t="shared" si="40"/>
        <v/>
      </c>
      <c r="I81" s="46">
        <f t="shared" si="40"/>
        <v>360.04631578947368</v>
      </c>
      <c r="J81" s="46">
        <f t="shared" si="40"/>
        <v>369.21684210526314</v>
      </c>
      <c r="K81" s="46">
        <f t="shared" si="40"/>
        <v>378.38736842105254</v>
      </c>
      <c r="L81" s="46">
        <f t="shared" si="40"/>
        <v>387.55789473684212</v>
      </c>
      <c r="M81" s="46">
        <f t="shared" si="40"/>
        <v>396.72842105263157</v>
      </c>
      <c r="N81" s="46">
        <f t="shared" si="40"/>
        <v>405.89894736842103</v>
      </c>
      <c r="O81" s="46">
        <f t="shared" si="40"/>
        <v>415.06947368421055</v>
      </c>
      <c r="P81" s="46">
        <f t="shared" si="40"/>
        <v>424.23999999999995</v>
      </c>
      <c r="Q81" s="46">
        <f t="shared" si="40"/>
        <v>433.41052631578947</v>
      </c>
    </row>
    <row r="82" spans="1:26" ht="13.5" customHeight="1">
      <c r="A82" s="2">
        <v>500</v>
      </c>
      <c r="B82" s="46" t="str">
        <f t="shared" ref="B82:Q82" si="41">IF(B31="","",(B56*SQFT_Acre)/$A82)</f>
        <v/>
      </c>
      <c r="C82" s="46" t="str">
        <f t="shared" si="41"/>
        <v/>
      </c>
      <c r="D82" s="46" t="str">
        <f t="shared" si="41"/>
        <v/>
      </c>
      <c r="E82" s="46" t="str">
        <f t="shared" si="41"/>
        <v/>
      </c>
      <c r="F82" s="46" t="str">
        <f t="shared" si="41"/>
        <v/>
      </c>
      <c r="G82" s="46" t="str">
        <f t="shared" si="41"/>
        <v/>
      </c>
      <c r="H82" s="46" t="str">
        <f t="shared" si="41"/>
        <v/>
      </c>
      <c r="I82" s="46" t="str">
        <f t="shared" si="41"/>
        <v/>
      </c>
      <c r="J82" s="46">
        <f t="shared" si="41"/>
        <v>363.25599999999997</v>
      </c>
      <c r="K82" s="46">
        <f t="shared" si="41"/>
        <v>371.96799999999996</v>
      </c>
      <c r="L82" s="46">
        <f t="shared" si="41"/>
        <v>380.68</v>
      </c>
      <c r="M82" s="46">
        <f t="shared" si="41"/>
        <v>389.392</v>
      </c>
      <c r="N82" s="46">
        <f t="shared" si="41"/>
        <v>398.10399999999998</v>
      </c>
      <c r="O82" s="46">
        <f t="shared" si="41"/>
        <v>406.81599999999997</v>
      </c>
      <c r="P82" s="46">
        <f t="shared" si="41"/>
        <v>415.52799999999996</v>
      </c>
      <c r="Q82" s="46">
        <f t="shared" si="41"/>
        <v>424.24</v>
      </c>
    </row>
    <row r="83" spans="1:26" ht="49.5" customHeight="1">
      <c r="A83" s="146" t="s">
        <v>161</v>
      </c>
      <c r="B83" s="146"/>
      <c r="C83" s="146"/>
      <c r="D83" s="146"/>
      <c r="E83" s="146"/>
      <c r="F83" s="146"/>
      <c r="G83" s="146"/>
      <c r="H83" s="146"/>
      <c r="I83" s="146"/>
      <c r="J83" s="146"/>
      <c r="K83" s="146"/>
      <c r="L83" s="146"/>
      <c r="M83" s="146"/>
      <c r="N83" s="146"/>
      <c r="O83" s="146"/>
      <c r="P83" s="146"/>
      <c r="Q83" s="146"/>
    </row>
    <row r="84" spans="1:26" ht="241.5" customHeight="1"/>
    <row r="85" spans="1:26" ht="19.5" customHeight="1">
      <c r="A85" s="144" t="s">
        <v>38</v>
      </c>
      <c r="B85" s="144"/>
      <c r="C85" s="144"/>
      <c r="D85" s="144"/>
      <c r="E85" s="144"/>
      <c r="F85" s="144"/>
      <c r="G85" s="144"/>
      <c r="H85" s="144"/>
      <c r="I85" s="144"/>
      <c r="J85" s="144"/>
      <c r="K85" s="144"/>
      <c r="L85" s="144"/>
      <c r="M85" s="144"/>
      <c r="N85" s="144"/>
      <c r="O85" s="144"/>
      <c r="P85" s="144"/>
      <c r="Q85" s="144"/>
    </row>
    <row r="86" spans="1:26" ht="49.5" customHeight="1">
      <c r="A86" s="146" t="s">
        <v>162</v>
      </c>
      <c r="B86" s="146"/>
      <c r="C86" s="146"/>
      <c r="D86" s="146"/>
      <c r="E86" s="146"/>
      <c r="F86" s="146"/>
      <c r="G86" s="146"/>
      <c r="H86" s="146"/>
      <c r="I86" s="146"/>
      <c r="J86" s="146"/>
      <c r="K86" s="146"/>
      <c r="L86" s="146"/>
      <c r="M86" s="146"/>
      <c r="N86" s="146"/>
      <c r="O86" s="146"/>
      <c r="P86" s="146"/>
      <c r="Q86" s="146"/>
    </row>
    <row r="87" spans="1:26">
      <c r="A87" s="50"/>
      <c r="B87" s="43" t="s">
        <v>39</v>
      </c>
      <c r="C87" s="43"/>
      <c r="D87" s="43"/>
      <c r="E87" s="43"/>
      <c r="F87" s="43"/>
      <c r="G87" s="43"/>
      <c r="H87" s="43"/>
      <c r="I87" s="43"/>
      <c r="J87" s="43"/>
      <c r="K87" s="43"/>
      <c r="L87" s="43"/>
      <c r="M87" s="43"/>
      <c r="N87" s="43"/>
      <c r="O87" s="43"/>
      <c r="P87" s="43"/>
      <c r="Q87" s="43"/>
      <c r="R87" s="51"/>
      <c r="S87" s="51"/>
      <c r="T87" s="51"/>
      <c r="U87" s="51"/>
      <c r="V87" s="51"/>
      <c r="W87" s="51"/>
      <c r="X87" s="51"/>
      <c r="Y87" s="51"/>
      <c r="Z87" s="51"/>
    </row>
    <row r="88" spans="1:26" ht="30" customHeight="1">
      <c r="A88" s="2" t="s">
        <v>1</v>
      </c>
      <c r="B88" t="s">
        <v>19</v>
      </c>
      <c r="C88" t="s">
        <v>20</v>
      </c>
      <c r="D88" t="s">
        <v>21</v>
      </c>
      <c r="E88" t="s">
        <v>22</v>
      </c>
      <c r="F88" t="s">
        <v>23</v>
      </c>
      <c r="G88" t="s">
        <v>24</v>
      </c>
      <c r="H88" t="s">
        <v>25</v>
      </c>
      <c r="I88" t="s">
        <v>26</v>
      </c>
      <c r="J88" t="s">
        <v>27</v>
      </c>
      <c r="K88" t="s">
        <v>28</v>
      </c>
      <c r="L88" t="s">
        <v>29</v>
      </c>
      <c r="M88" t="s">
        <v>30</v>
      </c>
      <c r="N88" t="s">
        <v>31</v>
      </c>
      <c r="O88" t="s">
        <v>32</v>
      </c>
      <c r="P88" t="s">
        <v>33</v>
      </c>
      <c r="Q88" t="s">
        <v>34</v>
      </c>
    </row>
    <row r="89" spans="1:26" ht="13.5" customHeight="1">
      <c r="A89" s="2">
        <v>25</v>
      </c>
      <c r="B89" s="48" t="str">
        <f t="shared" ref="B89:Q89" si="42">IF(B12="","",ROUND(B37/B$88,3))</f>
        <v/>
      </c>
      <c r="C89" s="48" t="str">
        <f t="shared" si="42"/>
        <v/>
      </c>
      <c r="D89" s="48" t="str">
        <f t="shared" si="42"/>
        <v/>
      </c>
      <c r="E89" s="48" t="str">
        <f t="shared" si="42"/>
        <v/>
      </c>
      <c r="F89" s="48" t="str">
        <f t="shared" si="42"/>
        <v/>
      </c>
      <c r="G89" s="48" t="str">
        <f t="shared" si="42"/>
        <v/>
      </c>
      <c r="H89" s="48" t="str">
        <f t="shared" si="42"/>
        <v/>
      </c>
      <c r="I89" s="48" t="str">
        <f t="shared" si="42"/>
        <v/>
      </c>
      <c r="J89" s="48" t="str">
        <f t="shared" si="42"/>
        <v/>
      </c>
      <c r="K89" s="48" t="str">
        <f t="shared" si="42"/>
        <v/>
      </c>
      <c r="L89" s="48" t="str">
        <f t="shared" si="42"/>
        <v/>
      </c>
      <c r="M89" s="48" t="str">
        <f t="shared" si="42"/>
        <v/>
      </c>
      <c r="N89" s="48" t="str">
        <f t="shared" si="42"/>
        <v/>
      </c>
      <c r="O89" s="48" t="str">
        <f t="shared" si="42"/>
        <v/>
      </c>
      <c r="P89" s="48" t="str">
        <f t="shared" si="42"/>
        <v/>
      </c>
      <c r="Q89" s="48" t="str">
        <f t="shared" si="42"/>
        <v/>
      </c>
    </row>
    <row r="90" spans="1:26" ht="13.5" customHeight="1">
      <c r="A90" s="2">
        <v>50</v>
      </c>
      <c r="B90" s="48">
        <f t="shared" ref="B90:Q90" si="43">IF(B13="","",ROUND(B38/B$88,3))</f>
        <v>0.157</v>
      </c>
      <c r="C90" s="48">
        <f t="shared" si="43"/>
        <v>0.14799999999999999</v>
      </c>
      <c r="D90" s="48" t="str">
        <f t="shared" si="43"/>
        <v/>
      </c>
      <c r="E90" s="48" t="str">
        <f t="shared" si="43"/>
        <v/>
      </c>
      <c r="F90" s="48" t="str">
        <f t="shared" si="43"/>
        <v/>
      </c>
      <c r="G90" s="48" t="str">
        <f t="shared" si="43"/>
        <v/>
      </c>
      <c r="H90" s="48" t="str">
        <f t="shared" si="43"/>
        <v/>
      </c>
      <c r="I90" s="48" t="str">
        <f t="shared" si="43"/>
        <v/>
      </c>
      <c r="J90" s="48" t="str">
        <f t="shared" si="43"/>
        <v/>
      </c>
      <c r="K90" s="48" t="str">
        <f t="shared" si="43"/>
        <v/>
      </c>
      <c r="L90" s="48" t="str">
        <f t="shared" si="43"/>
        <v/>
      </c>
      <c r="M90" s="48" t="str">
        <f t="shared" si="43"/>
        <v/>
      </c>
      <c r="N90" s="48" t="str">
        <f t="shared" si="43"/>
        <v/>
      </c>
      <c r="O90" s="48" t="str">
        <f t="shared" si="43"/>
        <v/>
      </c>
      <c r="P90" s="48" t="str">
        <f t="shared" si="43"/>
        <v/>
      </c>
      <c r="Q90" s="48" t="str">
        <f t="shared" si="43"/>
        <v/>
      </c>
    </row>
    <row r="91" spans="1:26" ht="13.5" customHeight="1">
      <c r="A91" s="2">
        <v>75</v>
      </c>
      <c r="B91" s="48">
        <f t="shared" ref="B91:Q91" si="44">IF(B14="","",ROUND(B39/B$88,3))</f>
        <v>0.186</v>
      </c>
      <c r="C91" s="48">
        <f t="shared" si="44"/>
        <v>0.17199999999999999</v>
      </c>
      <c r="D91" s="48">
        <f t="shared" si="44"/>
        <v>0.161</v>
      </c>
      <c r="E91" s="48">
        <f t="shared" si="44"/>
        <v>0.154</v>
      </c>
      <c r="F91" s="48">
        <f t="shared" si="44"/>
        <v>0.14799999999999999</v>
      </c>
      <c r="G91" s="48" t="str">
        <f t="shared" si="44"/>
        <v/>
      </c>
      <c r="H91" s="48" t="str">
        <f t="shared" si="44"/>
        <v/>
      </c>
      <c r="I91" s="48" t="str">
        <f t="shared" si="44"/>
        <v/>
      </c>
      <c r="J91" s="48" t="str">
        <f t="shared" si="44"/>
        <v/>
      </c>
      <c r="K91" s="48" t="str">
        <f t="shared" si="44"/>
        <v/>
      </c>
      <c r="L91" s="48" t="str">
        <f t="shared" si="44"/>
        <v/>
      </c>
      <c r="M91" s="48" t="str">
        <f t="shared" si="44"/>
        <v/>
      </c>
      <c r="N91" s="48" t="str">
        <f t="shared" si="44"/>
        <v/>
      </c>
      <c r="O91" s="48" t="str">
        <f t="shared" si="44"/>
        <v/>
      </c>
      <c r="P91" s="48" t="str">
        <f t="shared" si="44"/>
        <v/>
      </c>
      <c r="Q91" s="48" t="str">
        <f t="shared" si="44"/>
        <v/>
      </c>
    </row>
    <row r="92" spans="1:26" ht="13.5" customHeight="1">
      <c r="A92" s="2">
        <v>100</v>
      </c>
      <c r="B92" s="48">
        <f t="shared" ref="B92:Q92" si="45">IF(B15="","",ROUND(B40/B$88,3))</f>
        <v>0.215</v>
      </c>
      <c r="C92" s="48">
        <f t="shared" si="45"/>
        <v>0.19600000000000001</v>
      </c>
      <c r="D92" s="48">
        <f t="shared" si="45"/>
        <v>0.182</v>
      </c>
      <c r="E92" s="48">
        <f t="shared" si="45"/>
        <v>0.17199999999999999</v>
      </c>
      <c r="F92" s="48">
        <f t="shared" si="45"/>
        <v>0.16400000000000001</v>
      </c>
      <c r="G92" s="48">
        <f t="shared" si="45"/>
        <v>0.157</v>
      </c>
      <c r="H92" s="48">
        <f t="shared" si="45"/>
        <v>0.152</v>
      </c>
      <c r="I92" s="48">
        <f t="shared" si="45"/>
        <v>0.14799999999999999</v>
      </c>
      <c r="J92" s="48" t="str">
        <f t="shared" si="45"/>
        <v/>
      </c>
      <c r="K92" s="48" t="str">
        <f t="shared" si="45"/>
        <v/>
      </c>
      <c r="L92" s="48" t="str">
        <f t="shared" si="45"/>
        <v/>
      </c>
      <c r="M92" s="48" t="str">
        <f t="shared" si="45"/>
        <v/>
      </c>
      <c r="N92" s="48" t="str">
        <f t="shared" si="45"/>
        <v/>
      </c>
      <c r="O92" s="48" t="str">
        <f t="shared" si="45"/>
        <v/>
      </c>
      <c r="P92" s="48" t="str">
        <f t="shared" si="45"/>
        <v/>
      </c>
      <c r="Q92" s="48" t="str">
        <f t="shared" si="45"/>
        <v/>
      </c>
    </row>
    <row r="93" spans="1:26" ht="13.5" customHeight="1">
      <c r="A93" s="2">
        <v>125</v>
      </c>
      <c r="B93" s="48">
        <f t="shared" ref="B93:Q93" si="46">IF(B16="","",ROUND(B41/B$88,3))</f>
        <v>0.24299999999999999</v>
      </c>
      <c r="C93" s="48">
        <f t="shared" si="46"/>
        <v>0.22</v>
      </c>
      <c r="D93" s="48">
        <f t="shared" si="46"/>
        <v>0.20200000000000001</v>
      </c>
      <c r="E93" s="48">
        <f t="shared" si="46"/>
        <v>0.19</v>
      </c>
      <c r="F93" s="48">
        <f t="shared" si="46"/>
        <v>0.18</v>
      </c>
      <c r="G93" s="48">
        <f t="shared" si="46"/>
        <v>0.17199999999999999</v>
      </c>
      <c r="H93" s="48">
        <f t="shared" si="46"/>
        <v>0.16500000000000001</v>
      </c>
      <c r="I93" s="48">
        <f t="shared" si="46"/>
        <v>0.16</v>
      </c>
      <c r="J93" s="48">
        <f t="shared" si="46"/>
        <v>0.155</v>
      </c>
      <c r="K93" s="48">
        <f t="shared" si="46"/>
        <v>0.151</v>
      </c>
      <c r="L93" s="48">
        <f t="shared" si="46"/>
        <v>0.14799999999999999</v>
      </c>
      <c r="M93" s="48" t="str">
        <f t="shared" si="46"/>
        <v/>
      </c>
      <c r="N93" s="48" t="str">
        <f t="shared" si="46"/>
        <v/>
      </c>
      <c r="O93" s="48" t="str">
        <f t="shared" si="46"/>
        <v/>
      </c>
      <c r="P93" s="48" t="str">
        <f t="shared" si="46"/>
        <v/>
      </c>
      <c r="Q93" s="48" t="str">
        <f t="shared" si="46"/>
        <v/>
      </c>
    </row>
    <row r="94" spans="1:26" ht="13.5" customHeight="1">
      <c r="A94" s="2">
        <v>150</v>
      </c>
      <c r="B94" s="48">
        <f t="shared" ref="B94:Q94" si="47">IF(B17="","",ROUND(B42/B$88,3))</f>
        <v>0.27200000000000002</v>
      </c>
      <c r="C94" s="48">
        <f t="shared" si="47"/>
        <v>0.24299999999999999</v>
      </c>
      <c r="D94" s="48">
        <f t="shared" si="47"/>
        <v>0.223</v>
      </c>
      <c r="E94" s="48">
        <f t="shared" si="47"/>
        <v>0.20799999999999999</v>
      </c>
      <c r="F94" s="48">
        <f t="shared" si="47"/>
        <v>0.19600000000000001</v>
      </c>
      <c r="G94" s="48">
        <f t="shared" si="47"/>
        <v>0.186</v>
      </c>
      <c r="H94" s="48">
        <f t="shared" si="47"/>
        <v>0.17799999999999999</v>
      </c>
      <c r="I94" s="48">
        <f t="shared" si="47"/>
        <v>0.17199999999999999</v>
      </c>
      <c r="J94" s="48">
        <f t="shared" si="47"/>
        <v>0.16600000000000001</v>
      </c>
      <c r="K94" s="48">
        <f t="shared" si="47"/>
        <v>0.161</v>
      </c>
      <c r="L94" s="48">
        <f t="shared" si="47"/>
        <v>0.157</v>
      </c>
      <c r="M94" s="48">
        <f t="shared" si="47"/>
        <v>0.154</v>
      </c>
      <c r="N94" s="48">
        <f t="shared" si="47"/>
        <v>0.151</v>
      </c>
      <c r="O94" s="48">
        <f t="shared" si="47"/>
        <v>0.14799999999999999</v>
      </c>
      <c r="P94" s="48" t="str">
        <f t="shared" si="47"/>
        <v/>
      </c>
      <c r="Q94" s="48" t="str">
        <f t="shared" si="47"/>
        <v/>
      </c>
    </row>
    <row r="95" spans="1:26" ht="13.5" customHeight="1">
      <c r="A95" s="2">
        <v>175</v>
      </c>
      <c r="B95" s="48">
        <f t="shared" ref="B95:Q95" si="48">IF(B18="","",ROUND(B43/B$88,3))</f>
        <v>0.30099999999999999</v>
      </c>
      <c r="C95" s="48">
        <f t="shared" si="48"/>
        <v>0.26700000000000002</v>
      </c>
      <c r="D95" s="48">
        <f t="shared" si="48"/>
        <v>0.24299999999999999</v>
      </c>
      <c r="E95" s="48">
        <f t="shared" si="48"/>
        <v>0.22600000000000001</v>
      </c>
      <c r="F95" s="48">
        <f t="shared" si="48"/>
        <v>0.21199999999999999</v>
      </c>
      <c r="G95" s="48">
        <f t="shared" si="48"/>
        <v>0.2</v>
      </c>
      <c r="H95" s="48">
        <f t="shared" si="48"/>
        <v>0.191</v>
      </c>
      <c r="I95" s="48">
        <f t="shared" si="48"/>
        <v>0.184</v>
      </c>
      <c r="J95" s="48">
        <f t="shared" si="48"/>
        <v>0.17699999999999999</v>
      </c>
      <c r="K95" s="48">
        <f t="shared" si="48"/>
        <v>0.17199999999999999</v>
      </c>
      <c r="L95" s="48">
        <f t="shared" si="48"/>
        <v>0.16700000000000001</v>
      </c>
      <c r="M95" s="48">
        <f t="shared" si="48"/>
        <v>0.16300000000000001</v>
      </c>
      <c r="N95" s="48">
        <f t="shared" si="48"/>
        <v>0.159</v>
      </c>
      <c r="O95" s="48">
        <f t="shared" si="48"/>
        <v>0.156</v>
      </c>
      <c r="P95" s="48">
        <f t="shared" si="48"/>
        <v>0.153</v>
      </c>
      <c r="Q95" s="48">
        <f t="shared" si="48"/>
        <v>0.15</v>
      </c>
    </row>
    <row r="96" spans="1:26" ht="13.5" customHeight="1">
      <c r="A96" s="2">
        <v>200</v>
      </c>
      <c r="B96" s="48" t="str">
        <f t="shared" ref="B96:Q96" si="49">IF(B19="","",ROUND(B44/B$88,3))</f>
        <v/>
      </c>
      <c r="C96" s="48">
        <f t="shared" si="49"/>
        <v>0.29099999999999998</v>
      </c>
      <c r="D96" s="48">
        <f t="shared" si="49"/>
        <v>0.26400000000000001</v>
      </c>
      <c r="E96" s="48">
        <f t="shared" si="49"/>
        <v>0.24299999999999999</v>
      </c>
      <c r="F96" s="48">
        <f t="shared" si="49"/>
        <v>0.22800000000000001</v>
      </c>
      <c r="G96" s="48">
        <f t="shared" si="49"/>
        <v>0.215</v>
      </c>
      <c r="H96" s="48">
        <f t="shared" si="49"/>
        <v>0.20399999999999999</v>
      </c>
      <c r="I96" s="48">
        <f t="shared" si="49"/>
        <v>0.19600000000000001</v>
      </c>
      <c r="J96" s="48">
        <f t="shared" si="49"/>
        <v>0.188</v>
      </c>
      <c r="K96" s="48">
        <f t="shared" si="49"/>
        <v>0.182</v>
      </c>
      <c r="L96" s="48">
        <f t="shared" si="49"/>
        <v>0.17699999999999999</v>
      </c>
      <c r="M96" s="48">
        <f t="shared" si="49"/>
        <v>0.17199999999999999</v>
      </c>
      <c r="N96" s="48">
        <f t="shared" si="49"/>
        <v>0.16800000000000001</v>
      </c>
      <c r="O96" s="48">
        <f t="shared" si="49"/>
        <v>0.16400000000000001</v>
      </c>
      <c r="P96" s="48">
        <f t="shared" si="49"/>
        <v>0.16</v>
      </c>
      <c r="Q96" s="48">
        <f t="shared" si="49"/>
        <v>0.157</v>
      </c>
    </row>
    <row r="97" spans="1:17" ht="13.5" customHeight="1">
      <c r="A97" s="2">
        <v>225</v>
      </c>
      <c r="B97" s="48" t="str">
        <f t="shared" ref="B97:Q97" si="50">IF(B20="","",ROUND(B45/B$88,3))</f>
        <v/>
      </c>
      <c r="C97" s="48">
        <f t="shared" si="50"/>
        <v>0.315</v>
      </c>
      <c r="D97" s="48">
        <f t="shared" si="50"/>
        <v>0.28399999999999997</v>
      </c>
      <c r="E97" s="48">
        <f t="shared" si="50"/>
        <v>0.26100000000000001</v>
      </c>
      <c r="F97" s="48">
        <f t="shared" si="50"/>
        <v>0.24299999999999999</v>
      </c>
      <c r="G97" s="48">
        <f t="shared" si="50"/>
        <v>0.22900000000000001</v>
      </c>
      <c r="H97" s="48">
        <f t="shared" si="50"/>
        <v>0.217</v>
      </c>
      <c r="I97" s="48">
        <f t="shared" si="50"/>
        <v>0.20799999999999999</v>
      </c>
      <c r="J97" s="48">
        <f t="shared" si="50"/>
        <v>0.19900000000000001</v>
      </c>
      <c r="K97" s="48">
        <f t="shared" si="50"/>
        <v>0.192</v>
      </c>
      <c r="L97" s="48">
        <f t="shared" si="50"/>
        <v>0.186</v>
      </c>
      <c r="M97" s="48">
        <f t="shared" si="50"/>
        <v>0.18099999999999999</v>
      </c>
      <c r="N97" s="48">
        <f t="shared" si="50"/>
        <v>0.17599999999999999</v>
      </c>
      <c r="O97" s="48">
        <f t="shared" si="50"/>
        <v>0.17199999999999999</v>
      </c>
      <c r="P97" s="48">
        <f t="shared" si="50"/>
        <v>0.16800000000000001</v>
      </c>
      <c r="Q97" s="48">
        <f t="shared" si="50"/>
        <v>0.16500000000000001</v>
      </c>
    </row>
    <row r="98" spans="1:17" ht="13.5" customHeight="1">
      <c r="A98" s="2">
        <v>250</v>
      </c>
      <c r="B98" s="48" t="str">
        <f t="shared" ref="B98:Q98" si="51">IF(B21="","",ROUND(B46/B$88,3))</f>
        <v/>
      </c>
      <c r="C98" s="48" t="str">
        <f t="shared" si="51"/>
        <v/>
      </c>
      <c r="D98" s="48">
        <f t="shared" si="51"/>
        <v>0.30499999999999999</v>
      </c>
      <c r="E98" s="48">
        <f t="shared" si="51"/>
        <v>0.27900000000000003</v>
      </c>
      <c r="F98" s="48">
        <f t="shared" si="51"/>
        <v>0.25900000000000001</v>
      </c>
      <c r="G98" s="48">
        <f t="shared" si="51"/>
        <v>0.24299999999999999</v>
      </c>
      <c r="H98" s="48">
        <f t="shared" si="51"/>
        <v>0.23</v>
      </c>
      <c r="I98" s="48">
        <f t="shared" si="51"/>
        <v>0.22</v>
      </c>
      <c r="J98" s="48">
        <f t="shared" si="51"/>
        <v>0.21</v>
      </c>
      <c r="K98" s="48">
        <f t="shared" si="51"/>
        <v>0.20200000000000001</v>
      </c>
      <c r="L98" s="48">
        <f t="shared" si="51"/>
        <v>0.19600000000000001</v>
      </c>
      <c r="M98" s="48">
        <f t="shared" si="51"/>
        <v>0.19</v>
      </c>
      <c r="N98" s="48">
        <f t="shared" si="51"/>
        <v>0.184</v>
      </c>
      <c r="O98" s="48">
        <f t="shared" si="51"/>
        <v>0.18</v>
      </c>
      <c r="P98" s="48">
        <f t="shared" si="51"/>
        <v>0.17599999999999999</v>
      </c>
      <c r="Q98" s="48">
        <f t="shared" si="51"/>
        <v>0.17199999999999999</v>
      </c>
    </row>
    <row r="99" spans="1:17" ht="13.5" customHeight="1">
      <c r="A99" s="2">
        <v>275</v>
      </c>
      <c r="B99" s="48" t="str">
        <f t="shared" ref="B99:Q99" si="52">IF(B22="","",ROUND(B47/B$88,3))</f>
        <v/>
      </c>
      <c r="C99" s="48" t="str">
        <f t="shared" si="52"/>
        <v/>
      </c>
      <c r="D99" s="48">
        <f t="shared" si="52"/>
        <v>0.32500000000000001</v>
      </c>
      <c r="E99" s="48">
        <f t="shared" si="52"/>
        <v>0.29699999999999999</v>
      </c>
      <c r="F99" s="48">
        <f t="shared" si="52"/>
        <v>0.27500000000000002</v>
      </c>
      <c r="G99" s="48">
        <f t="shared" si="52"/>
        <v>0.25800000000000001</v>
      </c>
      <c r="H99" s="48">
        <f t="shared" si="52"/>
        <v>0.24299999999999999</v>
      </c>
      <c r="I99" s="48">
        <f t="shared" si="52"/>
        <v>0.23200000000000001</v>
      </c>
      <c r="J99" s="48">
        <f t="shared" si="52"/>
        <v>0.221</v>
      </c>
      <c r="K99" s="48">
        <f t="shared" si="52"/>
        <v>0.21299999999999999</v>
      </c>
      <c r="L99" s="48">
        <f t="shared" si="52"/>
        <v>0.20499999999999999</v>
      </c>
      <c r="M99" s="48">
        <f t="shared" si="52"/>
        <v>0.19900000000000001</v>
      </c>
      <c r="N99" s="48">
        <f t="shared" si="52"/>
        <v>0.193</v>
      </c>
      <c r="O99" s="48">
        <f t="shared" si="52"/>
        <v>0.188</v>
      </c>
      <c r="P99" s="48">
        <f t="shared" si="52"/>
        <v>0.183</v>
      </c>
      <c r="Q99" s="48">
        <f t="shared" si="52"/>
        <v>0.17899999999999999</v>
      </c>
    </row>
    <row r="100" spans="1:17" ht="13.5" customHeight="1">
      <c r="A100" s="2">
        <v>300</v>
      </c>
      <c r="B100" s="48" t="str">
        <f t="shared" ref="B100:Q100" si="53">IF(B23="","",ROUND(B48/B$88,3))</f>
        <v/>
      </c>
      <c r="C100" s="48" t="str">
        <f t="shared" si="53"/>
        <v/>
      </c>
      <c r="D100" s="48" t="str">
        <f t="shared" si="53"/>
        <v/>
      </c>
      <c r="E100" s="48">
        <f t="shared" si="53"/>
        <v>0.315</v>
      </c>
      <c r="F100" s="48">
        <f t="shared" si="53"/>
        <v>0.29099999999999998</v>
      </c>
      <c r="G100" s="48">
        <f t="shared" si="53"/>
        <v>0.27200000000000002</v>
      </c>
      <c r="H100" s="48">
        <f t="shared" si="53"/>
        <v>0.25700000000000001</v>
      </c>
      <c r="I100" s="48">
        <f t="shared" si="53"/>
        <v>0.24299999999999999</v>
      </c>
      <c r="J100" s="48">
        <f t="shared" si="53"/>
        <v>0.23200000000000001</v>
      </c>
      <c r="K100" s="48">
        <f t="shared" si="53"/>
        <v>0.223</v>
      </c>
      <c r="L100" s="48">
        <f t="shared" si="53"/>
        <v>0.215</v>
      </c>
      <c r="M100" s="48">
        <f t="shared" si="53"/>
        <v>0.20799999999999999</v>
      </c>
      <c r="N100" s="48">
        <f t="shared" si="53"/>
        <v>0.20100000000000001</v>
      </c>
      <c r="O100" s="48">
        <f t="shared" si="53"/>
        <v>0.19600000000000001</v>
      </c>
      <c r="P100" s="48">
        <f t="shared" si="53"/>
        <v>0.191</v>
      </c>
      <c r="Q100" s="48">
        <f t="shared" si="53"/>
        <v>0.186</v>
      </c>
    </row>
    <row r="101" spans="1:17" ht="13.5" customHeight="1">
      <c r="A101" s="2">
        <v>325</v>
      </c>
      <c r="B101" s="48" t="str">
        <f t="shared" ref="B101:Q101" si="54">IF(B24="","",ROUND(B49/B$88,3))</f>
        <v/>
      </c>
      <c r="C101" s="48" t="str">
        <f t="shared" si="54"/>
        <v/>
      </c>
      <c r="D101" s="48" t="str">
        <f t="shared" si="54"/>
        <v/>
      </c>
      <c r="E101" s="48" t="str">
        <f t="shared" si="54"/>
        <v/>
      </c>
      <c r="F101" s="48">
        <f t="shared" si="54"/>
        <v>0.307</v>
      </c>
      <c r="G101" s="48">
        <f t="shared" si="54"/>
        <v>0.28699999999999998</v>
      </c>
      <c r="H101" s="48">
        <f t="shared" si="54"/>
        <v>0.27</v>
      </c>
      <c r="I101" s="48">
        <f t="shared" si="54"/>
        <v>0.255</v>
      </c>
      <c r="J101" s="48">
        <f t="shared" si="54"/>
        <v>0.24299999999999999</v>
      </c>
      <c r="K101" s="48">
        <f t="shared" si="54"/>
        <v>0.23300000000000001</v>
      </c>
      <c r="L101" s="48">
        <f t="shared" si="54"/>
        <v>0.224</v>
      </c>
      <c r="M101" s="48">
        <f t="shared" si="54"/>
        <v>0.217</v>
      </c>
      <c r="N101" s="48">
        <f t="shared" si="54"/>
        <v>0.21</v>
      </c>
      <c r="O101" s="48">
        <f t="shared" si="54"/>
        <v>0.20399999999999999</v>
      </c>
      <c r="P101" s="48">
        <f t="shared" si="54"/>
        <v>0.19800000000000001</v>
      </c>
      <c r="Q101" s="48">
        <f t="shared" si="54"/>
        <v>0.193</v>
      </c>
    </row>
    <row r="102" spans="1:17" ht="13.5" customHeight="1">
      <c r="A102" s="2">
        <v>350</v>
      </c>
      <c r="B102" s="48" t="str">
        <f t="shared" ref="B102:Q102" si="55">IF(B25="","",ROUND(B50/B$88,3))</f>
        <v/>
      </c>
      <c r="C102" s="48" t="str">
        <f t="shared" si="55"/>
        <v/>
      </c>
      <c r="D102" s="48" t="str">
        <f t="shared" si="55"/>
        <v/>
      </c>
      <c r="E102" s="48" t="str">
        <f t="shared" si="55"/>
        <v/>
      </c>
      <c r="F102" s="48">
        <f t="shared" si="55"/>
        <v>0.32300000000000001</v>
      </c>
      <c r="G102" s="48">
        <f t="shared" si="55"/>
        <v>0.30099999999999999</v>
      </c>
      <c r="H102" s="48">
        <f t="shared" si="55"/>
        <v>0.28299999999999997</v>
      </c>
      <c r="I102" s="48">
        <f t="shared" si="55"/>
        <v>0.26700000000000002</v>
      </c>
      <c r="J102" s="48">
        <f t="shared" si="55"/>
        <v>0.255</v>
      </c>
      <c r="K102" s="48">
        <f t="shared" si="55"/>
        <v>0.24299999999999999</v>
      </c>
      <c r="L102" s="48">
        <f t="shared" si="55"/>
        <v>0.23400000000000001</v>
      </c>
      <c r="M102" s="48">
        <f t="shared" si="55"/>
        <v>0.22600000000000001</v>
      </c>
      <c r="N102" s="48">
        <f t="shared" si="55"/>
        <v>0.218</v>
      </c>
      <c r="O102" s="48">
        <f t="shared" si="55"/>
        <v>0.21199999999999999</v>
      </c>
      <c r="P102" s="48">
        <f t="shared" si="55"/>
        <v>0.20599999999999999</v>
      </c>
      <c r="Q102" s="48">
        <f t="shared" si="55"/>
        <v>0.2</v>
      </c>
    </row>
    <row r="103" spans="1:17" ht="13.5" customHeight="1">
      <c r="A103" s="2">
        <v>375</v>
      </c>
      <c r="B103" s="48" t="str">
        <f t="shared" ref="B103:Q103" si="56">IF(B26="","",ROUND(B51/B$88,3))</f>
        <v/>
      </c>
      <c r="C103" s="48" t="str">
        <f t="shared" si="56"/>
        <v/>
      </c>
      <c r="D103" s="48" t="str">
        <f t="shared" si="56"/>
        <v/>
      </c>
      <c r="E103" s="48" t="str">
        <f t="shared" si="56"/>
        <v/>
      </c>
      <c r="F103" s="48" t="str">
        <f t="shared" si="56"/>
        <v/>
      </c>
      <c r="G103" s="48">
        <f t="shared" si="56"/>
        <v>0.315</v>
      </c>
      <c r="H103" s="48">
        <f t="shared" si="56"/>
        <v>0.29599999999999999</v>
      </c>
      <c r="I103" s="48">
        <f t="shared" si="56"/>
        <v>0.27900000000000003</v>
      </c>
      <c r="J103" s="48">
        <f t="shared" si="56"/>
        <v>0.26600000000000001</v>
      </c>
      <c r="K103" s="48">
        <f t="shared" si="56"/>
        <v>0.254</v>
      </c>
      <c r="L103" s="48">
        <f t="shared" si="56"/>
        <v>0.24299999999999999</v>
      </c>
      <c r="M103" s="48">
        <f t="shared" si="56"/>
        <v>0.23499999999999999</v>
      </c>
      <c r="N103" s="48">
        <f t="shared" si="56"/>
        <v>0.22700000000000001</v>
      </c>
      <c r="O103" s="48">
        <f t="shared" si="56"/>
        <v>0.22</v>
      </c>
      <c r="P103" s="48">
        <f t="shared" si="56"/>
        <v>0.21299999999999999</v>
      </c>
      <c r="Q103" s="48">
        <f t="shared" si="56"/>
        <v>0.20799999999999999</v>
      </c>
    </row>
    <row r="104" spans="1:17" ht="13.5" customHeight="1">
      <c r="A104" s="2">
        <v>400</v>
      </c>
      <c r="B104" s="48" t="str">
        <f t="shared" ref="B104:Q104" si="57">IF(B27="","",ROUND(B52/B$88,3))</f>
        <v/>
      </c>
      <c r="C104" s="48" t="str">
        <f t="shared" si="57"/>
        <v/>
      </c>
      <c r="D104" s="48" t="str">
        <f t="shared" si="57"/>
        <v/>
      </c>
      <c r="E104" s="48" t="str">
        <f t="shared" si="57"/>
        <v/>
      </c>
      <c r="F104" s="48" t="str">
        <f t="shared" si="57"/>
        <v/>
      </c>
      <c r="G104" s="48" t="str">
        <f t="shared" si="57"/>
        <v/>
      </c>
      <c r="H104" s="48">
        <f t="shared" si="57"/>
        <v>0.309</v>
      </c>
      <c r="I104" s="48">
        <f t="shared" si="57"/>
        <v>0.29099999999999998</v>
      </c>
      <c r="J104" s="48">
        <f t="shared" si="57"/>
        <v>0.27700000000000002</v>
      </c>
      <c r="K104" s="48">
        <f t="shared" si="57"/>
        <v>0.26400000000000001</v>
      </c>
      <c r="L104" s="48">
        <f t="shared" si="57"/>
        <v>0.253</v>
      </c>
      <c r="M104" s="48">
        <f t="shared" si="57"/>
        <v>0.24299999999999999</v>
      </c>
      <c r="N104" s="48">
        <f t="shared" si="57"/>
        <v>0.23499999999999999</v>
      </c>
      <c r="O104" s="48">
        <f t="shared" si="57"/>
        <v>0.22800000000000001</v>
      </c>
      <c r="P104" s="48">
        <f t="shared" si="57"/>
        <v>0.221</v>
      </c>
      <c r="Q104" s="48">
        <f t="shared" si="57"/>
        <v>0.215</v>
      </c>
    </row>
    <row r="105" spans="1:17" ht="13.5" customHeight="1">
      <c r="A105" s="2">
        <v>425</v>
      </c>
      <c r="B105" s="48" t="str">
        <f t="shared" ref="B105:Q105" si="58">IF(B28="","",ROUND(B53/B$88,3))</f>
        <v/>
      </c>
      <c r="C105" s="48" t="str">
        <f t="shared" si="58"/>
        <v/>
      </c>
      <c r="D105" s="48" t="str">
        <f t="shared" si="58"/>
        <v/>
      </c>
      <c r="E105" s="48" t="str">
        <f t="shared" si="58"/>
        <v/>
      </c>
      <c r="F105" s="48" t="str">
        <f t="shared" si="58"/>
        <v/>
      </c>
      <c r="G105" s="48" t="str">
        <f t="shared" si="58"/>
        <v/>
      </c>
      <c r="H105" s="48">
        <f t="shared" si="58"/>
        <v>0.32200000000000001</v>
      </c>
      <c r="I105" s="48">
        <f t="shared" si="58"/>
        <v>0.30299999999999999</v>
      </c>
      <c r="J105" s="48">
        <f t="shared" si="58"/>
        <v>0.28799999999999998</v>
      </c>
      <c r="K105" s="48">
        <f t="shared" si="58"/>
        <v>0.27400000000000002</v>
      </c>
      <c r="L105" s="48">
        <f t="shared" si="58"/>
        <v>0.26300000000000001</v>
      </c>
      <c r="M105" s="48">
        <f t="shared" si="58"/>
        <v>0.252</v>
      </c>
      <c r="N105" s="48">
        <f t="shared" si="58"/>
        <v>0.24299999999999999</v>
      </c>
      <c r="O105" s="48">
        <f t="shared" si="58"/>
        <v>0.23599999999999999</v>
      </c>
      <c r="P105" s="48">
        <f t="shared" si="58"/>
        <v>0.22800000000000001</v>
      </c>
      <c r="Q105" s="48">
        <f t="shared" si="58"/>
        <v>0.222</v>
      </c>
    </row>
    <row r="106" spans="1:17" ht="13.5" customHeight="1">
      <c r="A106" s="2">
        <v>450</v>
      </c>
      <c r="B106" s="48" t="str">
        <f t="shared" ref="B106:Q106" si="59">IF(B29="","",ROUND(B54/B$88,3))</f>
        <v/>
      </c>
      <c r="C106" s="48" t="str">
        <f t="shared" si="59"/>
        <v/>
      </c>
      <c r="D106" s="48" t="str">
        <f t="shared" si="59"/>
        <v/>
      </c>
      <c r="E106" s="48" t="str">
        <f t="shared" si="59"/>
        <v/>
      </c>
      <c r="F106" s="48" t="str">
        <f t="shared" si="59"/>
        <v/>
      </c>
      <c r="G106" s="48" t="str">
        <f t="shared" si="59"/>
        <v/>
      </c>
      <c r="H106" s="48" t="str">
        <f t="shared" si="59"/>
        <v/>
      </c>
      <c r="I106" s="48">
        <f t="shared" si="59"/>
        <v>0.315</v>
      </c>
      <c r="J106" s="48">
        <f t="shared" si="59"/>
        <v>0.29899999999999999</v>
      </c>
      <c r="K106" s="48">
        <f t="shared" si="59"/>
        <v>0.28399999999999997</v>
      </c>
      <c r="L106" s="48">
        <f t="shared" si="59"/>
        <v>0.27200000000000002</v>
      </c>
      <c r="M106" s="48">
        <f t="shared" si="59"/>
        <v>0.26100000000000001</v>
      </c>
      <c r="N106" s="48">
        <f t="shared" si="59"/>
        <v>0.252</v>
      </c>
      <c r="O106" s="48">
        <f t="shared" si="59"/>
        <v>0.24299999999999999</v>
      </c>
      <c r="P106" s="48">
        <f t="shared" si="59"/>
        <v>0.23599999999999999</v>
      </c>
      <c r="Q106" s="48">
        <f t="shared" si="59"/>
        <v>0.22900000000000001</v>
      </c>
    </row>
    <row r="107" spans="1:17" ht="13.5" customHeight="1">
      <c r="A107" s="2">
        <v>475</v>
      </c>
      <c r="B107" s="48" t="str">
        <f t="shared" ref="B107:Q107" si="60">IF(B30="","",ROUND(B55/B$88,3))</f>
        <v/>
      </c>
      <c r="C107" s="48" t="str">
        <f t="shared" si="60"/>
        <v/>
      </c>
      <c r="D107" s="48" t="str">
        <f t="shared" si="60"/>
        <v/>
      </c>
      <c r="E107" s="48" t="str">
        <f t="shared" si="60"/>
        <v/>
      </c>
      <c r="F107" s="48" t="str">
        <f t="shared" si="60"/>
        <v/>
      </c>
      <c r="G107" s="48" t="str">
        <f t="shared" si="60"/>
        <v/>
      </c>
      <c r="H107" s="48" t="str">
        <f t="shared" si="60"/>
        <v/>
      </c>
      <c r="I107" s="48">
        <f t="shared" si="60"/>
        <v>0.32700000000000001</v>
      </c>
      <c r="J107" s="48">
        <f t="shared" si="60"/>
        <v>0.31</v>
      </c>
      <c r="K107" s="48">
        <f t="shared" si="60"/>
        <v>0.29499999999999998</v>
      </c>
      <c r="L107" s="48">
        <f t="shared" si="60"/>
        <v>0.28199999999999997</v>
      </c>
      <c r="M107" s="48">
        <f t="shared" si="60"/>
        <v>0.27</v>
      </c>
      <c r="N107" s="48">
        <f t="shared" si="60"/>
        <v>0.26</v>
      </c>
      <c r="O107" s="48">
        <f t="shared" si="60"/>
        <v>0.251</v>
      </c>
      <c r="P107" s="48">
        <f t="shared" si="60"/>
        <v>0.24299999999999999</v>
      </c>
      <c r="Q107" s="48">
        <f t="shared" si="60"/>
        <v>0.23599999999999999</v>
      </c>
    </row>
    <row r="108" spans="1:17" ht="13.5" customHeight="1">
      <c r="A108" s="2">
        <v>500</v>
      </c>
      <c r="B108" s="48" t="str">
        <f t="shared" ref="B108:Q108" si="61">IF(B31="","",ROUND(B56/B$88,3))</f>
        <v/>
      </c>
      <c r="C108" s="48" t="str">
        <f t="shared" si="61"/>
        <v/>
      </c>
      <c r="D108" s="48" t="str">
        <f t="shared" si="61"/>
        <v/>
      </c>
      <c r="E108" s="48" t="str">
        <f t="shared" si="61"/>
        <v/>
      </c>
      <c r="F108" s="48" t="str">
        <f t="shared" si="61"/>
        <v/>
      </c>
      <c r="G108" s="48" t="str">
        <f t="shared" si="61"/>
        <v/>
      </c>
      <c r="H108" s="48" t="str">
        <f t="shared" si="61"/>
        <v/>
      </c>
      <c r="I108" s="48" t="str">
        <f t="shared" si="61"/>
        <v/>
      </c>
      <c r="J108" s="48">
        <f t="shared" si="61"/>
        <v>0.32100000000000001</v>
      </c>
      <c r="K108" s="48">
        <f t="shared" si="61"/>
        <v>0.30499999999999999</v>
      </c>
      <c r="L108" s="48">
        <f t="shared" si="61"/>
        <v>0.29099999999999998</v>
      </c>
      <c r="M108" s="48">
        <f t="shared" si="61"/>
        <v>0.27900000000000003</v>
      </c>
      <c r="N108" s="48">
        <f t="shared" si="61"/>
        <v>0.26900000000000002</v>
      </c>
      <c r="O108" s="48">
        <f t="shared" si="61"/>
        <v>0.25900000000000001</v>
      </c>
      <c r="P108" s="48">
        <f t="shared" si="61"/>
        <v>0.251</v>
      </c>
      <c r="Q108" s="48">
        <f t="shared" si="61"/>
        <v>0.24299999999999999</v>
      </c>
    </row>
    <row r="110" spans="1:17" ht="24" customHeight="1">
      <c r="A110" s="142" t="s">
        <v>58</v>
      </c>
      <c r="B110" s="142"/>
      <c r="C110" s="142"/>
      <c r="D110" s="142"/>
      <c r="E110" s="142"/>
      <c r="F110" s="142"/>
      <c r="G110" s="142"/>
      <c r="H110" s="142"/>
      <c r="I110" s="142"/>
      <c r="J110" s="142"/>
      <c r="K110" s="142"/>
      <c r="L110" s="142"/>
      <c r="M110" s="142"/>
      <c r="N110" s="142"/>
      <c r="O110" s="142"/>
      <c r="P110" s="142"/>
      <c r="Q110" s="142"/>
    </row>
    <row r="111" spans="1:17" ht="36" customHeight="1">
      <c r="A111" s="137" t="s">
        <v>57</v>
      </c>
      <c r="B111" s="137"/>
      <c r="C111" s="137"/>
      <c r="D111" s="137"/>
      <c r="E111" s="137"/>
      <c r="F111" s="137"/>
      <c r="G111" s="137"/>
      <c r="H111" s="137"/>
      <c r="I111" s="137"/>
      <c r="J111" s="137"/>
      <c r="K111" s="137"/>
      <c r="L111" s="137"/>
      <c r="M111" s="137"/>
      <c r="N111" s="137"/>
      <c r="O111" s="137"/>
      <c r="P111" s="137"/>
      <c r="Q111" s="137"/>
    </row>
  </sheetData>
  <sheetProtection algorithmName="SHA-512" hashValue="mJWFI+qK7b9ljGSG5RfWeth4T/Za5H6tKmJNRPK7MBk0hZRt1s0HVe5948mogKwzF7ZWAQo7onyjrNsByFBktQ==" saltValue="v4NOPUMABbETLXf2FDpESA==" spinCount="100000" sheet="1" objects="1" scenarios="1"/>
  <mergeCells count="20">
    <mergeCell ref="A60:Q60"/>
    <mergeCell ref="A85:Q85"/>
    <mergeCell ref="A86:Q86"/>
    <mergeCell ref="A110:Q110"/>
    <mergeCell ref="A111:Q111"/>
    <mergeCell ref="A83:Q83"/>
    <mergeCell ref="A2:Q2"/>
    <mergeCell ref="A9:Q9"/>
    <mergeCell ref="A8:Q8"/>
    <mergeCell ref="A3:Q3"/>
    <mergeCell ref="B4:F4"/>
    <mergeCell ref="B5:F5"/>
    <mergeCell ref="B6:F6"/>
    <mergeCell ref="A7:Q7"/>
    <mergeCell ref="A59:Q59"/>
    <mergeCell ref="A10:Q10"/>
    <mergeCell ref="A33:Q33"/>
    <mergeCell ref="A34:Q34"/>
    <mergeCell ref="A35:Q35"/>
    <mergeCell ref="A57:Q57"/>
  </mergeCells>
  <conditionalFormatting sqref="B12:Q32">
    <cfRule type="colorScale" priority="43">
      <colorScale>
        <cfvo type="min"/>
        <cfvo type="percentile" val="50"/>
        <cfvo type="max"/>
        <color theme="4"/>
        <color rgb="FFFFEB84"/>
        <color rgb="FF63BE7B"/>
      </colorScale>
    </cfRule>
    <cfRule type="colorScale" priority="44">
      <colorScale>
        <cfvo type="min"/>
        <cfvo type="percentile" val="50"/>
        <cfvo type="max"/>
        <color rgb="FF63BE7B"/>
        <color rgb="FFFFEB84"/>
        <color rgb="FFF8696B"/>
      </colorScale>
    </cfRule>
  </conditionalFormatting>
  <conditionalFormatting sqref="B37:Q56">
    <cfRule type="colorScale" priority="45">
      <colorScale>
        <cfvo type="min"/>
        <cfvo type="percentile" val="50"/>
        <cfvo type="max"/>
        <color theme="4"/>
        <color rgb="FFFFEB84"/>
        <color rgb="FF63BE7B"/>
      </colorScale>
    </cfRule>
    <cfRule type="colorScale" priority="46">
      <colorScale>
        <cfvo type="min"/>
        <cfvo type="percentile" val="50"/>
        <cfvo type="max"/>
        <color rgb="FF63BE7B"/>
        <color rgb="FFFFEB84"/>
        <color rgb="FFF8696B"/>
      </colorScale>
    </cfRule>
  </conditionalFormatting>
  <conditionalFormatting sqref="B63:Q82">
    <cfRule type="colorScale" priority="47">
      <colorScale>
        <cfvo type="min"/>
        <cfvo type="percentile" val="50"/>
        <cfvo type="max"/>
        <color theme="4"/>
        <color rgb="FFFFEB84"/>
        <color rgb="FF63BE7B"/>
      </colorScale>
    </cfRule>
    <cfRule type="colorScale" priority="48">
      <colorScale>
        <cfvo type="min"/>
        <cfvo type="percentile" val="50"/>
        <cfvo type="max"/>
        <color rgb="FFF8696B"/>
        <color rgb="FFFFEB84"/>
        <color rgb="FF63BE7B"/>
      </colorScale>
    </cfRule>
  </conditionalFormatting>
  <conditionalFormatting sqref="B89:Q108">
    <cfRule type="colorScale" priority="49">
      <colorScale>
        <cfvo type="min"/>
        <cfvo type="percentile" val="50"/>
        <cfvo type="max"/>
        <color theme="4"/>
        <color rgb="FFFFEB84"/>
        <color rgb="FF63BE7B"/>
      </colorScale>
    </cfRule>
    <cfRule type="colorScale" priority="50">
      <colorScale>
        <cfvo type="min"/>
        <cfvo type="percentile" val="50"/>
        <cfvo type="max"/>
        <color rgb="FF63BE7B"/>
        <color rgb="FFFFEB84"/>
        <color rgb="FFF8696B"/>
      </colorScale>
    </cfRule>
  </conditionalFormatting>
  <pageMargins left="0.7" right="0.7" top="0.75" bottom="0.75" header="0.3" footer="0.3"/>
  <pageSetup orientation="portrait" horizontalDpi="1200" verticalDpi="1200" r:id="rId1"/>
  <headerFooter>
    <oddFooter>&amp;LResidential Open Space&amp;C&amp;A&amp;RPage &amp;P of &amp;N</oddFooter>
  </headerFooter>
  <rowBreaks count="2" manualBreakCount="2">
    <brk id="32" max="16" man="1"/>
    <brk id="58" max="16" man="1"/>
  </rowBreaks>
  <drawing r:id="rId2"/>
  <tableParts count="4">
    <tablePart r:id="rId3"/>
    <tablePart r:id="rId4"/>
    <tablePart r:id="rId5"/>
    <tablePart r:id="rId6"/>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58A13C-CBA7-4576-8B2A-C12BFB568CA4}">
  <sheetPr>
    <tabColor theme="9" tint="-0.499984740745262"/>
  </sheetPr>
  <dimension ref="A1:H20"/>
  <sheetViews>
    <sheetView showGridLines="0" zoomScaleNormal="100" zoomScaleSheetLayoutView="100" workbookViewId="0">
      <selection activeCell="G24" sqref="G24"/>
    </sheetView>
  </sheetViews>
  <sheetFormatPr defaultRowHeight="15"/>
  <cols>
    <col min="1" max="1" width="11.140625" customWidth="1"/>
    <col min="2" max="2" width="80" customWidth="1"/>
  </cols>
  <sheetData>
    <row r="1" spans="1:8" ht="38.25" customHeight="1" thickBot="1">
      <c r="A1" s="60" t="s">
        <v>108</v>
      </c>
      <c r="B1" s="60"/>
    </row>
    <row r="2" spans="1:8" ht="35.25" customHeight="1">
      <c r="A2" s="139" t="s">
        <v>135</v>
      </c>
      <c r="B2" s="139"/>
      <c r="F2" s="21"/>
    </row>
    <row r="3" spans="1:8" s="31" customFormat="1" ht="21.75" customHeight="1">
      <c r="A3" s="144" t="s">
        <v>132</v>
      </c>
      <c r="B3" s="144"/>
    </row>
    <row r="4" spans="1:8" s="2" customFormat="1" ht="21.75" customHeight="1">
      <c r="A4" s="92" t="s">
        <v>163</v>
      </c>
      <c r="B4" s="91" t="s">
        <v>165</v>
      </c>
    </row>
    <row r="5" spans="1:8" ht="49.5" customHeight="1">
      <c r="A5" s="138" t="s">
        <v>133</v>
      </c>
      <c r="B5" s="138"/>
      <c r="F5" s="21"/>
    </row>
    <row r="6" spans="1:8" s="2" customFormat="1" ht="21.75" customHeight="1">
      <c r="A6" s="144" t="s">
        <v>109</v>
      </c>
      <c r="B6" s="144"/>
    </row>
    <row r="7" spans="1:8" s="2" customFormat="1" ht="21.75" customHeight="1">
      <c r="A7" s="92" t="s">
        <v>163</v>
      </c>
      <c r="B7" s="91" t="s">
        <v>164</v>
      </c>
    </row>
    <row r="8" spans="1:8" s="1" customFormat="1" ht="19.5" customHeight="1">
      <c r="A8" s="20" t="s">
        <v>131</v>
      </c>
      <c r="B8" s="7" t="s">
        <v>110</v>
      </c>
    </row>
    <row r="9" spans="1:8" ht="34.5" customHeight="1">
      <c r="A9" s="2" t="s">
        <v>111</v>
      </c>
      <c r="B9" s="62" t="s">
        <v>112</v>
      </c>
    </row>
    <row r="10" spans="1:8" ht="34.5" customHeight="1">
      <c r="A10" s="2" t="s">
        <v>113</v>
      </c>
      <c r="B10" s="62" t="s">
        <v>114</v>
      </c>
    </row>
    <row r="11" spans="1:8" ht="49.5" customHeight="1">
      <c r="A11" s="2" t="s">
        <v>115</v>
      </c>
      <c r="B11" s="62" t="s">
        <v>116</v>
      </c>
    </row>
    <row r="12" spans="1:8" ht="34.5" customHeight="1">
      <c r="A12" s="2" t="s">
        <v>117</v>
      </c>
      <c r="B12" s="62" t="s">
        <v>118</v>
      </c>
    </row>
    <row r="13" spans="1:8" ht="65.25" customHeight="1">
      <c r="A13" s="2" t="s">
        <v>119</v>
      </c>
      <c r="B13" s="62" t="s">
        <v>120</v>
      </c>
    </row>
    <row r="14" spans="1:8" ht="49.5" customHeight="1">
      <c r="A14" s="2" t="s">
        <v>121</v>
      </c>
      <c r="B14" s="62" t="s">
        <v>122</v>
      </c>
    </row>
    <row r="15" spans="1:8" ht="34.5" customHeight="1">
      <c r="A15" s="2" t="s">
        <v>123</v>
      </c>
      <c r="B15" s="62" t="s">
        <v>124</v>
      </c>
      <c r="G15" s="63"/>
      <c r="H15" s="64"/>
    </row>
    <row r="16" spans="1:8" ht="34.5" customHeight="1">
      <c r="A16" s="2" t="s">
        <v>125</v>
      </c>
      <c r="B16" s="62" t="s">
        <v>126</v>
      </c>
      <c r="G16" s="63"/>
    </row>
    <row r="17" spans="1:7" ht="34.5" customHeight="1">
      <c r="A17" s="2" t="s">
        <v>127</v>
      </c>
      <c r="B17" s="62" t="s">
        <v>128</v>
      </c>
      <c r="G17" s="63"/>
    </row>
    <row r="18" spans="1:7" ht="34.5" customHeight="1">
      <c r="A18" s="2" t="s">
        <v>129</v>
      </c>
      <c r="B18" s="62" t="s">
        <v>130</v>
      </c>
    </row>
    <row r="19" spans="1:7" ht="24" customHeight="1">
      <c r="A19" s="59" t="s">
        <v>58</v>
      </c>
      <c r="B19" s="17"/>
    </row>
    <row r="20" spans="1:7" ht="36" customHeight="1">
      <c r="A20" s="137" t="s">
        <v>57</v>
      </c>
      <c r="B20" s="137"/>
    </row>
  </sheetData>
  <sheetProtection algorithmName="SHA-512" hashValue="iQH+WiVUpP8b+bMo0QAs2fr+KJLeo7txgoJSUeg4ai29Qm/JBpqPKGXGvS95nxvGMGAEMD2ut7S+dad3dIMkng==" saltValue="MfpJFOOn1/JZZU+/lEk+Ng==" spinCount="100000" sheet="1" objects="1" scenarios="1"/>
  <mergeCells count="5">
    <mergeCell ref="A2:B2"/>
    <mergeCell ref="A6:B6"/>
    <mergeCell ref="A20:B20"/>
    <mergeCell ref="A5:B5"/>
    <mergeCell ref="A3:B3"/>
  </mergeCells>
  <hyperlinks>
    <hyperlink ref="B7" r:id="rId1" xr:uid="{945FDA21-453D-41A7-AA08-9B6975B34747}"/>
    <hyperlink ref="B4" r:id="rId2" location="housing" xr:uid="{E9D1BE85-2A1D-4B72-AFE7-595838ECA507}"/>
  </hyperlinks>
  <pageMargins left="0.7" right="0.7" top="0.75" bottom="0.75" header="0.3" footer="0.3"/>
  <pageSetup scale="99" orientation="portrait" r:id="rId3"/>
  <headerFooter>
    <oddFooter>&amp;LResidential Open Space&amp;C&amp;A&amp;RPage &amp;P of &amp;N</oddFooter>
  </headerFooter>
  <tableParts count="1">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9859D-1447-4817-A7E2-DE266B22A05A}">
  <sheetPr codeName="Sheet5"/>
  <dimension ref="A1:C40"/>
  <sheetViews>
    <sheetView zoomScaleNormal="100" zoomScaleSheetLayoutView="100" workbookViewId="0">
      <selection activeCell="F40" sqref="F40"/>
    </sheetView>
  </sheetViews>
  <sheetFormatPr defaultRowHeight="15"/>
  <cols>
    <col min="1" max="1" width="40.5703125" customWidth="1"/>
    <col min="2" max="2" width="21" style="47" customWidth="1"/>
    <col min="3" max="3" width="28.85546875" style="8" customWidth="1"/>
  </cols>
  <sheetData>
    <row r="1" spans="1:3" ht="38.25" customHeight="1" thickBot="1">
      <c r="A1" s="60" t="s">
        <v>153</v>
      </c>
      <c r="B1" s="76"/>
      <c r="C1" s="76"/>
    </row>
    <row r="2" spans="1:3" ht="21">
      <c r="A2" s="4" t="s">
        <v>5</v>
      </c>
      <c r="C2" s="80"/>
    </row>
    <row r="3" spans="1:3">
      <c r="A3" s="83" t="s">
        <v>18</v>
      </c>
      <c r="B3" s="84" t="s">
        <v>156</v>
      </c>
      <c r="C3" s="85" t="s">
        <v>13</v>
      </c>
    </row>
    <row r="4" spans="1:3">
      <c r="A4" s="81" t="s">
        <v>4</v>
      </c>
      <c r="B4" s="82">
        <v>2.85</v>
      </c>
      <c r="C4" s="88" t="s">
        <v>158</v>
      </c>
    </row>
    <row r="5" spans="1:3">
      <c r="A5" s="3" t="s">
        <v>6</v>
      </c>
      <c r="B5" s="90">
        <v>43560</v>
      </c>
      <c r="C5" s="88"/>
    </row>
    <row r="6" spans="1:3">
      <c r="A6" s="3" t="s">
        <v>15</v>
      </c>
      <c r="B6" s="77">
        <v>25</v>
      </c>
      <c r="C6" s="88" t="s">
        <v>159</v>
      </c>
    </row>
    <row r="7" spans="1:3">
      <c r="A7" s="3" t="s">
        <v>16</v>
      </c>
      <c r="B7" s="77">
        <v>20</v>
      </c>
      <c r="C7" s="88" t="s">
        <v>159</v>
      </c>
    </row>
    <row r="8" spans="1:3">
      <c r="A8" s="3" t="s">
        <v>17</v>
      </c>
      <c r="B8" s="77">
        <v>20</v>
      </c>
      <c r="C8" s="88" t="s">
        <v>159</v>
      </c>
    </row>
    <row r="9" spans="1:3">
      <c r="A9" s="3" t="s">
        <v>42</v>
      </c>
      <c r="B9" s="77">
        <v>5</v>
      </c>
      <c r="C9" s="88" t="s">
        <v>159</v>
      </c>
    </row>
    <row r="10" spans="1:3">
      <c r="A10" s="3" t="s">
        <v>43</v>
      </c>
      <c r="B10" s="77">
        <v>40</v>
      </c>
      <c r="C10" s="88" t="s">
        <v>45</v>
      </c>
    </row>
    <row r="11" spans="1:3">
      <c r="A11" s="3" t="s">
        <v>44</v>
      </c>
      <c r="B11" s="77">
        <v>8</v>
      </c>
      <c r="C11" s="88" t="s">
        <v>46</v>
      </c>
    </row>
    <row r="12" spans="1:3">
      <c r="A12" s="3" t="s">
        <v>204</v>
      </c>
      <c r="B12" s="77">
        <v>2.87</v>
      </c>
      <c r="C12" s="88" t="s">
        <v>196</v>
      </c>
    </row>
    <row r="13" spans="1:3">
      <c r="A13" s="3" t="s">
        <v>195</v>
      </c>
      <c r="B13" s="77">
        <v>2.68</v>
      </c>
      <c r="C13" s="88" t="s">
        <v>196</v>
      </c>
    </row>
    <row r="15" spans="1:3">
      <c r="A15" s="83" t="s">
        <v>11</v>
      </c>
      <c r="B15" s="84" t="s">
        <v>156</v>
      </c>
      <c r="C15" s="85" t="s">
        <v>13</v>
      </c>
    </row>
    <row r="16" spans="1:3">
      <c r="A16" s="81" t="s">
        <v>59</v>
      </c>
      <c r="B16" s="86">
        <v>150</v>
      </c>
      <c r="C16" s="88" t="s">
        <v>9</v>
      </c>
    </row>
    <row r="17" spans="1:3">
      <c r="A17" s="3" t="s">
        <v>60</v>
      </c>
      <c r="B17" s="78">
        <v>250</v>
      </c>
      <c r="C17" s="88" t="s">
        <v>8</v>
      </c>
    </row>
    <row r="18" spans="1:3">
      <c r="A18" s="3" t="s">
        <v>61</v>
      </c>
      <c r="B18" s="78">
        <v>350</v>
      </c>
      <c r="C18" s="88" t="s">
        <v>10</v>
      </c>
    </row>
    <row r="20" spans="1:3">
      <c r="A20" s="83" t="s">
        <v>66</v>
      </c>
      <c r="B20" s="84" t="s">
        <v>156</v>
      </c>
      <c r="C20" s="85" t="s">
        <v>13</v>
      </c>
    </row>
    <row r="21" spans="1:3">
      <c r="A21" s="81" t="s">
        <v>78</v>
      </c>
      <c r="B21" s="87">
        <v>0</v>
      </c>
      <c r="C21" s="88" t="s">
        <v>155</v>
      </c>
    </row>
    <row r="22" spans="1:3">
      <c r="A22" s="3" t="s">
        <v>67</v>
      </c>
      <c r="B22" s="79">
        <v>0.08</v>
      </c>
      <c r="C22" s="88" t="s">
        <v>155</v>
      </c>
    </row>
    <row r="23" spans="1:3">
      <c r="A23" s="3" t="s">
        <v>68</v>
      </c>
      <c r="B23" s="79">
        <v>0.12</v>
      </c>
      <c r="C23" s="88" t="s">
        <v>155</v>
      </c>
    </row>
    <row r="24" spans="1:3">
      <c r="A24" s="3" t="s">
        <v>69</v>
      </c>
      <c r="B24" s="79">
        <v>0.15</v>
      </c>
      <c r="C24" s="88" t="s">
        <v>155</v>
      </c>
    </row>
    <row r="25" spans="1:3">
      <c r="A25" s="3" t="s">
        <v>70</v>
      </c>
      <c r="B25" s="79">
        <v>0.15</v>
      </c>
      <c r="C25" s="88" t="s">
        <v>155</v>
      </c>
    </row>
    <row r="26" spans="1:3">
      <c r="A26" s="3" t="s">
        <v>71</v>
      </c>
      <c r="B26" s="79">
        <v>0</v>
      </c>
      <c r="C26" s="88" t="s">
        <v>155</v>
      </c>
    </row>
    <row r="27" spans="1:3">
      <c r="A27" s="3" t="s">
        <v>73</v>
      </c>
      <c r="B27" s="79">
        <v>0.15</v>
      </c>
      <c r="C27" s="88" t="s">
        <v>155</v>
      </c>
    </row>
    <row r="28" spans="1:3">
      <c r="A28" s="3" t="s">
        <v>74</v>
      </c>
      <c r="B28" s="79">
        <v>0.15</v>
      </c>
      <c r="C28" s="88" t="s">
        <v>155</v>
      </c>
    </row>
    <row r="29" spans="1:3">
      <c r="A29" s="3" t="s">
        <v>72</v>
      </c>
      <c r="B29" s="79">
        <v>0</v>
      </c>
      <c r="C29" s="88" t="s">
        <v>155</v>
      </c>
    </row>
    <row r="30" spans="1:3">
      <c r="C30" s="88" t="s">
        <v>155</v>
      </c>
    </row>
    <row r="31" spans="1:3">
      <c r="A31" s="83" t="s">
        <v>11</v>
      </c>
      <c r="B31" s="84" t="s">
        <v>156</v>
      </c>
      <c r="C31" s="85" t="s">
        <v>13</v>
      </c>
    </row>
    <row r="32" spans="1:3">
      <c r="A32" s="81" t="s">
        <v>102</v>
      </c>
      <c r="B32" s="87">
        <v>0.1</v>
      </c>
      <c r="C32" s="89" t="s">
        <v>157</v>
      </c>
    </row>
    <row r="34" spans="1:3">
      <c r="A34" s="83" t="s">
        <v>98</v>
      </c>
      <c r="B34" s="84"/>
      <c r="C34" s="85" t="s">
        <v>13</v>
      </c>
    </row>
    <row r="35" spans="1:3">
      <c r="A35" s="81" t="s">
        <v>99</v>
      </c>
      <c r="C35" s="88" t="s">
        <v>154</v>
      </c>
    </row>
    <row r="36" spans="1:3">
      <c r="A36" s="3" t="s">
        <v>100</v>
      </c>
      <c r="C36" s="88" t="s">
        <v>154</v>
      </c>
    </row>
    <row r="37" spans="1:3">
      <c r="A37" s="3" t="s">
        <v>101</v>
      </c>
      <c r="C37" s="88" t="s">
        <v>154</v>
      </c>
    </row>
    <row r="39" spans="1:3" ht="24" customHeight="1">
      <c r="A39" s="142" t="s">
        <v>58</v>
      </c>
      <c r="B39" s="142"/>
      <c r="C39" s="142"/>
    </row>
    <row r="40" spans="1:3" ht="36" customHeight="1">
      <c r="A40" s="137" t="s">
        <v>57</v>
      </c>
      <c r="B40" s="137"/>
      <c r="C40" s="137"/>
    </row>
  </sheetData>
  <sheetProtection algorithmName="SHA-512" hashValue="56x0/8AjxpREZ/WsqKO4VwejcrH/2GWCmAZZ8CLhz3KzhQ91qz6jZNEa852H/NPbC4Y8L1UyzZWrj+ElK8J17g==" saltValue="Tlia4R9r7yY8Lvl93D/jrg==" spinCount="100000" sheet="1" objects="1" scenarios="1" selectLockedCells="1"/>
  <mergeCells count="2">
    <mergeCell ref="A39:C39"/>
    <mergeCell ref="A40:C40"/>
  </mergeCells>
  <pageMargins left="0.7" right="0.7" top="0.75" bottom="0.75" header="0.3" footer="0.3"/>
  <pageSetup orientation="portrait" r:id="rId1"/>
  <headerFooter>
    <oddFooter>&amp;LResidential Open Space&amp;C&amp;A&amp;RPage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D00CA3111CCBB49B8ABC33E217396EE" ma:contentTypeVersion="11" ma:contentTypeDescription="Create a new document." ma:contentTypeScope="" ma:versionID="ee69338991b58f245f915412347d34fc">
  <xsd:schema xmlns:xsd="http://www.w3.org/2001/XMLSchema" xmlns:xs="http://www.w3.org/2001/XMLSchema" xmlns:p="http://schemas.microsoft.com/office/2006/metadata/properties" xmlns:ns3="93588d15-ad3e-4308-9115-e4a472b471e1" xmlns:ns4="b1c98d1a-4f4b-4d8b-8cc2-ddd7484f90b6" targetNamespace="http://schemas.microsoft.com/office/2006/metadata/properties" ma:root="true" ma:fieldsID="178e595d40991246fbd95f06a39ba203" ns3:_="" ns4:_="">
    <xsd:import namespace="93588d15-ad3e-4308-9115-e4a472b471e1"/>
    <xsd:import namespace="b1c98d1a-4f4b-4d8b-8cc2-ddd7484f90b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Location" minOccurs="0"/>
                <xsd:element ref="ns4: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588d15-ad3e-4308-9115-e4a472b471e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1c98d1a-4f4b-4d8b-8cc2-ddd7484f90b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BCE9E5-93C0-4DC8-8A10-4A2C4F0962EE}">
  <ds:schemaRefs>
    <ds:schemaRef ds:uri="http://schemas.microsoft.com/sharepoint/v3/contenttype/forms"/>
  </ds:schemaRefs>
</ds:datastoreItem>
</file>

<file path=customXml/itemProps2.xml><?xml version="1.0" encoding="utf-8"?>
<ds:datastoreItem xmlns:ds="http://schemas.openxmlformats.org/officeDocument/2006/customXml" ds:itemID="{20026759-1F26-42F9-B3EB-EB1E7E436E8B}">
  <ds:schemaRefs>
    <ds:schemaRef ds:uri="http://purl.org/dc/dcmitype/"/>
    <ds:schemaRef ds:uri="http://purl.org/dc/elements/1.1/"/>
    <ds:schemaRef ds:uri="http://purl.org/dc/terms/"/>
    <ds:schemaRef ds:uri="http://www.w3.org/XML/1998/namespace"/>
    <ds:schemaRef ds:uri="http://schemas.microsoft.com/office/2006/metadata/properties"/>
    <ds:schemaRef ds:uri="b1c98d1a-4f4b-4d8b-8cc2-ddd7484f90b6"/>
    <ds:schemaRef ds:uri="93588d15-ad3e-4308-9115-e4a472b471e1"/>
    <ds:schemaRef ds:uri="http://schemas.microsoft.com/office/2006/documentManagement/types"/>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2C08CEE9-39B1-46ED-961F-6C22B124F1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588d15-ad3e-4308-9115-e4a472b471e1"/>
    <ds:schemaRef ds:uri="b1c98d1a-4f4b-4d8b-8cc2-ddd7484f90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69</vt:i4>
      </vt:variant>
    </vt:vector>
  </HeadingPairs>
  <TitlesOfParts>
    <vt:vector size="75" baseType="lpstr">
      <vt:lpstr>Introduction</vt:lpstr>
      <vt:lpstr>O.S. Calculator</vt:lpstr>
      <vt:lpstr>O.S. Analysis</vt:lpstr>
      <vt:lpstr>O.S. Matrix (Informational)</vt:lpstr>
      <vt:lpstr>O.S. Policies (Informational)</vt:lpstr>
      <vt:lpstr>Global Variables</vt:lpstr>
      <vt:lpstr>avg_HH_MF</vt:lpstr>
      <vt:lpstr>avg_HH_SF</vt:lpstr>
      <vt:lpstr>avg_p_unit_q</vt:lpstr>
      <vt:lpstr>avg_p_unit_t</vt:lpstr>
      <vt:lpstr>avg_p_unit_u</vt:lpstr>
      <vt:lpstr>buffer_art</vt:lpstr>
      <vt:lpstr>buffer_coll</vt:lpstr>
      <vt:lpstr>buffer_local</vt:lpstr>
      <vt:lpstr>density_MF</vt:lpstr>
      <vt:lpstr>density_overall</vt:lpstr>
      <vt:lpstr>density_SF</vt:lpstr>
      <vt:lpstr>DU_MF</vt:lpstr>
      <vt:lpstr>DU_SF</vt:lpstr>
      <vt:lpstr>DU_total</vt:lpstr>
      <vt:lpstr>extra_OS</vt:lpstr>
      <vt:lpstr>extra_OS_MF</vt:lpstr>
      <vt:lpstr>extra_OS_SF</vt:lpstr>
      <vt:lpstr>'Global Variables'!large_unit</vt:lpstr>
      <vt:lpstr>max_density</vt:lpstr>
      <vt:lpstr>med_unit</vt:lpstr>
      <vt:lpstr>min_density</vt:lpstr>
      <vt:lpstr>minOS_acres</vt:lpstr>
      <vt:lpstr>minOS_SQFT</vt:lpstr>
      <vt:lpstr>OS_mod</vt:lpstr>
      <vt:lpstr>OS_NonQual</vt:lpstr>
      <vt:lpstr>OS_Usable</vt:lpstr>
      <vt:lpstr>Per_OS</vt:lpstr>
      <vt:lpstr>Per_OS_MF</vt:lpstr>
      <vt:lpstr>PPH</vt:lpstr>
      <vt:lpstr>'O.S. Analysis'!Print_Area</vt:lpstr>
      <vt:lpstr>'O.S. Matrix (Informational)'!Print_Area</vt:lpstr>
      <vt:lpstr>'O.S. Policies (Informational)'!proj_acre</vt:lpstr>
      <vt:lpstr>proj_acre</vt:lpstr>
      <vt:lpstr>proj_size_acres</vt:lpstr>
      <vt:lpstr>proj_size_SQFT</vt:lpstr>
      <vt:lpstr>proj_type</vt:lpstr>
      <vt:lpstr>'O.S. Policies (Informational)'!project_acres</vt:lpstr>
      <vt:lpstr>project_acres</vt:lpstr>
      <vt:lpstr>project_size</vt:lpstr>
      <vt:lpstr>project_size_MF</vt:lpstr>
      <vt:lpstr>project_size_SF</vt:lpstr>
      <vt:lpstr>project_type</vt:lpstr>
      <vt:lpstr>required_per</vt:lpstr>
      <vt:lpstr>'Global Variables'!small_unit</vt:lpstr>
      <vt:lpstr>SQFT_Acre</vt:lpstr>
      <vt:lpstr>t_OS_acres</vt:lpstr>
      <vt:lpstr>t_OS_NonQual</vt:lpstr>
      <vt:lpstr>t_OS_Qual</vt:lpstr>
      <vt:lpstr>t_OS_SQFT</vt:lpstr>
      <vt:lpstr>t_proj_per_OS</vt:lpstr>
      <vt:lpstr>t_prop_OS</vt:lpstr>
      <vt:lpstr>t_usable_OS</vt:lpstr>
      <vt:lpstr>total_req_OS</vt:lpstr>
      <vt:lpstr>units_large</vt:lpstr>
      <vt:lpstr>units_med</vt:lpstr>
      <vt:lpstr>units_sf</vt:lpstr>
      <vt:lpstr>units_small</vt:lpstr>
      <vt:lpstr>zone_OT</vt:lpstr>
      <vt:lpstr>zone_R15</vt:lpstr>
      <vt:lpstr>zone_R2</vt:lpstr>
      <vt:lpstr>zone_R4</vt:lpstr>
      <vt:lpstr>zone_R40</vt:lpstr>
      <vt:lpstr>zone_R8</vt:lpstr>
      <vt:lpstr>zone_TNC</vt:lpstr>
      <vt:lpstr>zone_TNR</vt:lpstr>
      <vt:lpstr>zoning_amounts</vt:lpstr>
      <vt:lpstr>zoning_array</vt:lpstr>
      <vt:lpstr>zoning_list</vt:lpstr>
      <vt:lpstr>zoning_select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Open Space Calculator</dc:title>
  <dc:creator>Brian McClure</dc:creator>
  <cp:keywords>Open Space;City of Meridian</cp:keywords>
  <cp:lastModifiedBy>Brian McClure</cp:lastModifiedBy>
  <cp:lastPrinted>2022-03-31T13:33:45Z</cp:lastPrinted>
  <dcterms:created xsi:type="dcterms:W3CDTF">2020-11-03T23:17:29Z</dcterms:created>
  <dcterms:modified xsi:type="dcterms:W3CDTF">2022-04-14T13:29:59Z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0x010100BD00CA3111CCBB49B8ABC33E217396EE</vt:lpwstr>
  </property>
</Properties>
</file>